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edponcloud.sharepoint.com/teams/O365_EDPRInvestorRelations/Shared Documents/General/Resultados EDP Renováveis/2025/4 - 4th Quarter Results/3. Operating Data/"/>
    </mc:Choice>
  </mc:AlternateContent>
  <xr:revisionPtr revIDLastSave="2276" documentId="6_{E2286645-AB17-47DB-9145-6D4899939E6F}" xr6:coauthVersionLast="47" xr6:coauthVersionMax="47" xr10:uidLastSave="{03F13E31-4595-4F11-87BA-0A1559226FB5}"/>
  <bookViews>
    <workbookView xWindow="-22650" yWindow="-16320" windowWidth="29040" windowHeight="15720" tabRatio="911" xr2:uid="{00000000-000D-0000-FFFF-FFFF00000000}"/>
  </bookViews>
  <sheets>
    <sheet name="EN" sheetId="40" r:id="rId1"/>
    <sheet name="PT" sheetId="54" r:id="rId2"/>
    <sheet name="Charts" sheetId="34" r:id="rId3"/>
    <sheet name="Text" sheetId="22" r:id="rId4"/>
    <sheet name="Check" sheetId="43" state="hidden" r:id="rId5"/>
    <sheet name="Checks" sheetId="53" r:id="rId6"/>
  </sheets>
  <externalReferences>
    <externalReference r:id="rId7"/>
    <externalReference r:id="rId8"/>
    <externalReference r:id="rId9"/>
  </externalReferences>
  <definedNames>
    <definedName name="Cur_Period" localSheetId="5">Checks!$C$2</definedName>
    <definedName name="Cur_Period" localSheetId="0">EN!$C$2</definedName>
    <definedName name="Cur_Period" localSheetId="1">PT!$C$2</definedName>
    <definedName name="Cur_Year" localSheetId="5">Checks!$H$2</definedName>
    <definedName name="Cur_Year" localSheetId="1">PT!$H$2</definedName>
    <definedName name="Cur_Year">EN!$H$2</definedName>
    <definedName name="Pre_Period" localSheetId="5">Checks!$C$3</definedName>
    <definedName name="Pre_Period" localSheetId="0">EN!$C$3</definedName>
    <definedName name="Pre_Period" localSheetId="1">PT!$C$3</definedName>
    <definedName name="_xlnm.Print_Area" localSheetId="4">Check!$B$6:$R$187</definedName>
    <definedName name="_xlnm.Print_Area" localSheetId="5">Checks!$B$6:$R$187</definedName>
    <definedName name="_xlnm.Print_Area" localSheetId="0">EN!$B$6:$R$187</definedName>
    <definedName name="_xlnm.Print_Area" localSheetId="1">PT!$B$6:$R$187</definedName>
    <definedName name="SAPFuncF4Help" localSheetId="4" hidden="1">Main.SAPF4Help()</definedName>
    <definedName name="SAPFuncF4Help" localSheetId="5" hidden="1">Main.SAPF4Help()</definedName>
    <definedName name="SAPFuncF4Help" localSheetId="0" hidden="1">Main.SAPF4Help()</definedName>
    <definedName name="SAPFuncF4Help" localSheetId="1" hidden="1">Main.SAPF4Help()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7" i="54" l="1"/>
  <c r="O171" i="54"/>
  <c r="O170" i="54"/>
  <c r="O169" i="54"/>
  <c r="O168" i="54"/>
  <c r="O167" i="54"/>
  <c r="O166" i="54"/>
  <c r="O165" i="54"/>
  <c r="O164" i="54"/>
  <c r="O163" i="54"/>
  <c r="O162" i="54"/>
  <c r="O161" i="54"/>
  <c r="O160" i="54"/>
  <c r="O159" i="54"/>
  <c r="O158" i="54"/>
  <c r="O157" i="54"/>
  <c r="O156" i="54"/>
  <c r="O155" i="54"/>
  <c r="O154" i="54"/>
  <c r="O153" i="54"/>
  <c r="O139" i="54"/>
  <c r="O138" i="54"/>
  <c r="O137" i="54"/>
  <c r="O136" i="54"/>
  <c r="O135" i="54"/>
  <c r="O134" i="54"/>
  <c r="O133" i="54"/>
  <c r="O132" i="54"/>
  <c r="O131" i="54"/>
  <c r="Q187" i="54" l="1"/>
  <c r="O187" i="54"/>
  <c r="C187" i="54"/>
  <c r="Q186" i="54"/>
  <c r="N186" i="54"/>
  <c r="C186" i="54"/>
  <c r="C185" i="54"/>
  <c r="Q183" i="54"/>
  <c r="G183" i="54" s="1"/>
  <c r="I183" i="54" s="1"/>
  <c r="L183" i="54"/>
  <c r="J183" i="54"/>
  <c r="F183" i="54"/>
  <c r="V33" i="54" s="1"/>
  <c r="C183" i="54"/>
  <c r="L182" i="54"/>
  <c r="J182" i="54"/>
  <c r="F182" i="54"/>
  <c r="C182" i="54"/>
  <c r="J181" i="54"/>
  <c r="F181" i="54"/>
  <c r="C181" i="54"/>
  <c r="J180" i="54"/>
  <c r="I180" i="54"/>
  <c r="C180" i="54"/>
  <c r="J179" i="54"/>
  <c r="H179" i="54"/>
  <c r="G179" i="54"/>
  <c r="F179" i="54"/>
  <c r="C179" i="54"/>
  <c r="J178" i="54"/>
  <c r="H178" i="54"/>
  <c r="G178" i="54"/>
  <c r="F178" i="54"/>
  <c r="C178" i="54"/>
  <c r="Q177" i="54"/>
  <c r="Q182" i="54" s="1"/>
  <c r="L177" i="54"/>
  <c r="J177" i="54"/>
  <c r="H177" i="54"/>
  <c r="G177" i="54"/>
  <c r="F177" i="54"/>
  <c r="C177" i="54"/>
  <c r="O176" i="54"/>
  <c r="L176" i="54"/>
  <c r="J176" i="54"/>
  <c r="H176" i="54"/>
  <c r="G176" i="54"/>
  <c r="F176" i="54"/>
  <c r="L174" i="54"/>
  <c r="C174" i="54"/>
  <c r="L172" i="54"/>
  <c r="F172" i="54"/>
  <c r="V32" i="54" s="1"/>
  <c r="C172" i="54"/>
  <c r="Q171" i="54"/>
  <c r="L171" i="54"/>
  <c r="F171" i="54"/>
  <c r="C171" i="54"/>
  <c r="Q170" i="54"/>
  <c r="L170" i="54"/>
  <c r="H170" i="54"/>
  <c r="H124" i="54" s="1"/>
  <c r="G170" i="54"/>
  <c r="G124" i="54" s="1"/>
  <c r="C170" i="54"/>
  <c r="Q169" i="54"/>
  <c r="L169" i="54"/>
  <c r="F169" i="54"/>
  <c r="C169" i="54"/>
  <c r="Q168" i="54"/>
  <c r="L168" i="54"/>
  <c r="H168" i="54"/>
  <c r="H169" i="54" s="1"/>
  <c r="G168" i="54"/>
  <c r="F168" i="54"/>
  <c r="C168" i="54"/>
  <c r="Q167" i="54"/>
  <c r="L167" i="54"/>
  <c r="F167" i="54"/>
  <c r="C167" i="54"/>
  <c r="Q166" i="54"/>
  <c r="L166" i="54"/>
  <c r="F166" i="54"/>
  <c r="C166" i="54"/>
  <c r="Q165" i="54"/>
  <c r="L165" i="54"/>
  <c r="H165" i="54"/>
  <c r="G165" i="54"/>
  <c r="C165" i="54"/>
  <c r="Q164" i="54"/>
  <c r="L164" i="54"/>
  <c r="J164" i="54"/>
  <c r="H164" i="54"/>
  <c r="G164" i="54"/>
  <c r="F164" i="54"/>
  <c r="C164" i="54"/>
  <c r="Q163" i="54"/>
  <c r="L163" i="54"/>
  <c r="J163" i="54"/>
  <c r="H163" i="54"/>
  <c r="G163" i="54"/>
  <c r="F163" i="54"/>
  <c r="C163" i="54"/>
  <c r="Q162" i="54"/>
  <c r="L162" i="54"/>
  <c r="F162" i="54"/>
  <c r="C162" i="54"/>
  <c r="Q161" i="54"/>
  <c r="L161" i="54"/>
  <c r="J161" i="54"/>
  <c r="H161" i="54"/>
  <c r="G161" i="54"/>
  <c r="C161" i="54"/>
  <c r="Q160" i="54"/>
  <c r="L160" i="54"/>
  <c r="J160" i="54"/>
  <c r="H160" i="54"/>
  <c r="G160" i="54"/>
  <c r="G162" i="54" s="1"/>
  <c r="F160" i="54"/>
  <c r="C160" i="54"/>
  <c r="Q159" i="54"/>
  <c r="L159" i="54"/>
  <c r="F159" i="54"/>
  <c r="C159" i="54"/>
  <c r="Q158" i="54"/>
  <c r="L158" i="54"/>
  <c r="J158" i="54"/>
  <c r="H158" i="54"/>
  <c r="G158" i="54"/>
  <c r="F158" i="54"/>
  <c r="C158" i="54"/>
  <c r="Q157" i="54"/>
  <c r="L157" i="54"/>
  <c r="J157" i="54"/>
  <c r="H157" i="54"/>
  <c r="G157" i="54"/>
  <c r="F157" i="54"/>
  <c r="C157" i="54"/>
  <c r="Q156" i="54"/>
  <c r="L156" i="54"/>
  <c r="F156" i="54"/>
  <c r="C156" i="54"/>
  <c r="Q155" i="54"/>
  <c r="L155" i="54"/>
  <c r="H155" i="54"/>
  <c r="G155" i="54"/>
  <c r="C155" i="54"/>
  <c r="Q154" i="54"/>
  <c r="L154" i="54"/>
  <c r="J154" i="54"/>
  <c r="H154" i="54"/>
  <c r="G154" i="54"/>
  <c r="F154" i="54"/>
  <c r="C154" i="54"/>
  <c r="Q153" i="54"/>
  <c r="L153" i="54"/>
  <c r="J153" i="54"/>
  <c r="H153" i="54"/>
  <c r="G153" i="54"/>
  <c r="F153" i="54"/>
  <c r="C153" i="54"/>
  <c r="O152" i="54"/>
  <c r="L152" i="54"/>
  <c r="J152" i="54"/>
  <c r="H152" i="54"/>
  <c r="G152" i="54"/>
  <c r="F152" i="54"/>
  <c r="L150" i="54"/>
  <c r="C150" i="54"/>
  <c r="T148" i="54"/>
  <c r="L148" i="54"/>
  <c r="F148" i="54"/>
  <c r="V31" i="54" s="1"/>
  <c r="C148" i="54"/>
  <c r="F147" i="54"/>
  <c r="C147" i="54"/>
  <c r="F146" i="54"/>
  <c r="C146" i="54"/>
  <c r="H145" i="54"/>
  <c r="H146" i="54" s="1"/>
  <c r="G145" i="54"/>
  <c r="G146" i="54" s="1"/>
  <c r="F145" i="54"/>
  <c r="C145" i="54"/>
  <c r="F144" i="54"/>
  <c r="C144" i="54"/>
  <c r="H143" i="54"/>
  <c r="G143" i="54"/>
  <c r="F143" i="54"/>
  <c r="C143" i="54"/>
  <c r="H142" i="54"/>
  <c r="G142" i="54"/>
  <c r="F142" i="54"/>
  <c r="C142" i="54"/>
  <c r="F141" i="54"/>
  <c r="C141" i="54"/>
  <c r="F140" i="54"/>
  <c r="C140" i="54"/>
  <c r="Q139" i="54"/>
  <c r="L139" i="54"/>
  <c r="J139" i="54"/>
  <c r="H139" i="54"/>
  <c r="G139" i="54"/>
  <c r="F139" i="54"/>
  <c r="C139" i="54"/>
  <c r="Q138" i="54"/>
  <c r="L138" i="54"/>
  <c r="J138" i="54"/>
  <c r="H138" i="54"/>
  <c r="G138" i="54"/>
  <c r="F138" i="54"/>
  <c r="C138" i="54"/>
  <c r="Q137" i="54"/>
  <c r="L137" i="54"/>
  <c r="F137" i="54"/>
  <c r="C137" i="54"/>
  <c r="Q136" i="54"/>
  <c r="L136" i="54"/>
  <c r="J136" i="54"/>
  <c r="H136" i="54"/>
  <c r="G136" i="54"/>
  <c r="F136" i="54"/>
  <c r="C136" i="54"/>
  <c r="Q135" i="54"/>
  <c r="L135" i="54"/>
  <c r="J135" i="54"/>
  <c r="H135" i="54"/>
  <c r="G135" i="54"/>
  <c r="F135" i="54"/>
  <c r="C135" i="54"/>
  <c r="Q134" i="54"/>
  <c r="L134" i="54"/>
  <c r="F134" i="54"/>
  <c r="C134" i="54"/>
  <c r="Q133" i="54"/>
  <c r="L133" i="54"/>
  <c r="H133" i="54"/>
  <c r="G133" i="54"/>
  <c r="C133" i="54"/>
  <c r="Q132" i="54"/>
  <c r="L132" i="54"/>
  <c r="J132" i="54"/>
  <c r="H132" i="54"/>
  <c r="G132" i="54"/>
  <c r="F132" i="54"/>
  <c r="C132" i="54"/>
  <c r="Q131" i="54"/>
  <c r="L131" i="54"/>
  <c r="J131" i="54"/>
  <c r="H131" i="54"/>
  <c r="G131" i="54"/>
  <c r="F131" i="54"/>
  <c r="C131" i="54"/>
  <c r="O130" i="54"/>
  <c r="L130" i="54"/>
  <c r="J130" i="54"/>
  <c r="H130" i="54"/>
  <c r="G130" i="54"/>
  <c r="F130" i="54"/>
  <c r="L128" i="54"/>
  <c r="C128" i="54"/>
  <c r="L126" i="54"/>
  <c r="C126" i="54"/>
  <c r="X125" i="54"/>
  <c r="U125" i="54"/>
  <c r="L125" i="54"/>
  <c r="C125" i="54"/>
  <c r="X124" i="54"/>
  <c r="U124" i="54"/>
  <c r="T124" i="54"/>
  <c r="L124" i="54"/>
  <c r="C124" i="54"/>
  <c r="X123" i="54"/>
  <c r="U123" i="54"/>
  <c r="T123" i="54"/>
  <c r="L123" i="54"/>
  <c r="C123" i="54"/>
  <c r="X122" i="54"/>
  <c r="U122" i="54"/>
  <c r="T122" i="54"/>
  <c r="L122" i="54"/>
  <c r="C122" i="54"/>
  <c r="X121" i="54"/>
  <c r="U121" i="54"/>
  <c r="T121" i="54"/>
  <c r="L121" i="54"/>
  <c r="G121" i="54"/>
  <c r="C121" i="54"/>
  <c r="X120" i="54"/>
  <c r="T120" i="54"/>
  <c r="C120" i="54"/>
  <c r="X119" i="54"/>
  <c r="U119" i="54"/>
  <c r="T119" i="54"/>
  <c r="C119" i="54"/>
  <c r="X118" i="54"/>
  <c r="U118" i="54"/>
  <c r="T118" i="54"/>
  <c r="C118" i="54"/>
  <c r="X117" i="54"/>
  <c r="U117" i="54"/>
  <c r="T117" i="54"/>
  <c r="C117" i="54"/>
  <c r="X116" i="54"/>
  <c r="U116" i="54"/>
  <c r="T116" i="54"/>
  <c r="C116" i="54"/>
  <c r="X115" i="54"/>
  <c r="T115" i="54"/>
  <c r="C115" i="54"/>
  <c r="X114" i="54"/>
  <c r="U114" i="54"/>
  <c r="T114" i="54"/>
  <c r="C114" i="54"/>
  <c r="X113" i="54"/>
  <c r="U113" i="54"/>
  <c r="T113" i="54"/>
  <c r="C113" i="54"/>
  <c r="X112" i="54"/>
  <c r="U112" i="54"/>
  <c r="T112" i="54"/>
  <c r="C112" i="54"/>
  <c r="X111" i="54"/>
  <c r="U111" i="54"/>
  <c r="C111" i="54"/>
  <c r="X110" i="54"/>
  <c r="U110" i="54"/>
  <c r="T110" i="54"/>
  <c r="C110" i="54"/>
  <c r="X109" i="54"/>
  <c r="U109" i="54"/>
  <c r="T109" i="54"/>
  <c r="C109" i="54"/>
  <c r="X108" i="54"/>
  <c r="U108" i="54"/>
  <c r="T108" i="54"/>
  <c r="C108" i="54"/>
  <c r="X107" i="54"/>
  <c r="U107" i="54"/>
  <c r="T107" i="54"/>
  <c r="C107" i="54"/>
  <c r="T106" i="54"/>
  <c r="C106" i="54"/>
  <c r="X105" i="54"/>
  <c r="U105" i="54"/>
  <c r="T105" i="54"/>
  <c r="C105" i="54"/>
  <c r="X104" i="54"/>
  <c r="U104" i="54"/>
  <c r="T104" i="54"/>
  <c r="C104" i="54"/>
  <c r="X103" i="54"/>
  <c r="T103" i="54"/>
  <c r="J103" i="54"/>
  <c r="H103" i="54"/>
  <c r="G103" i="54"/>
  <c r="F103" i="54"/>
  <c r="X102" i="54"/>
  <c r="U102" i="54"/>
  <c r="T102" i="54"/>
  <c r="H102" i="54"/>
  <c r="X101" i="54"/>
  <c r="U101" i="54"/>
  <c r="T101" i="54"/>
  <c r="L101" i="54"/>
  <c r="U100" i="54"/>
  <c r="C99" i="54"/>
  <c r="M98" i="54"/>
  <c r="C98" i="54"/>
  <c r="A98" i="54"/>
  <c r="A99" i="54" s="1"/>
  <c r="A100" i="54" s="1"/>
  <c r="A101" i="54" s="1"/>
  <c r="A102" i="54" s="1"/>
  <c r="A103" i="54" s="1"/>
  <c r="A104" i="54" s="1"/>
  <c r="A105" i="54" s="1"/>
  <c r="A106" i="54" s="1"/>
  <c r="A107" i="54" s="1"/>
  <c r="A108" i="54" s="1"/>
  <c r="A109" i="54" s="1"/>
  <c r="A110" i="54" s="1"/>
  <c r="A111" i="54" s="1"/>
  <c r="A112" i="54" s="1"/>
  <c r="A113" i="54" s="1"/>
  <c r="A114" i="54" s="1"/>
  <c r="A115" i="54" s="1"/>
  <c r="A116" i="54" s="1"/>
  <c r="A117" i="54" s="1"/>
  <c r="A118" i="54" s="1"/>
  <c r="A119" i="54" s="1"/>
  <c r="A120" i="54" s="1"/>
  <c r="A121" i="54" s="1"/>
  <c r="A122" i="54" s="1"/>
  <c r="A123" i="54" s="1"/>
  <c r="A124" i="54" s="1"/>
  <c r="A125" i="54" s="1"/>
  <c r="A126" i="54" s="1"/>
  <c r="A127" i="54" s="1"/>
  <c r="A128" i="54" s="1"/>
  <c r="A129" i="54" s="1"/>
  <c r="A130" i="54" s="1"/>
  <c r="A131" i="54" s="1"/>
  <c r="A132" i="54" s="1"/>
  <c r="A133" i="54" s="1"/>
  <c r="A134" i="54" s="1"/>
  <c r="A135" i="54" s="1"/>
  <c r="A136" i="54" s="1"/>
  <c r="A137" i="54" s="1"/>
  <c r="A138" i="54" s="1"/>
  <c r="A139" i="54" s="1"/>
  <c r="A140" i="54" s="1"/>
  <c r="A141" i="54" s="1"/>
  <c r="A142" i="54" s="1"/>
  <c r="A143" i="54" s="1"/>
  <c r="A144" i="54" s="1"/>
  <c r="A145" i="54" s="1"/>
  <c r="A146" i="54" s="1"/>
  <c r="A147" i="54" s="1"/>
  <c r="A148" i="54" s="1"/>
  <c r="A149" i="54" s="1"/>
  <c r="A150" i="54" s="1"/>
  <c r="A151" i="54" s="1"/>
  <c r="A152" i="54" s="1"/>
  <c r="A153" i="54" s="1"/>
  <c r="A154" i="54" s="1"/>
  <c r="A155" i="54" s="1"/>
  <c r="A156" i="54" s="1"/>
  <c r="A157" i="54" s="1"/>
  <c r="A158" i="54" s="1"/>
  <c r="A159" i="54" s="1"/>
  <c r="A160" i="54" s="1"/>
  <c r="A161" i="54" s="1"/>
  <c r="A162" i="54" s="1"/>
  <c r="A163" i="54" s="1"/>
  <c r="A164" i="54" s="1"/>
  <c r="A165" i="54" s="1"/>
  <c r="A166" i="54" s="1"/>
  <c r="A167" i="54" s="1"/>
  <c r="A168" i="54" s="1"/>
  <c r="A169" i="54" s="1"/>
  <c r="A170" i="54" s="1"/>
  <c r="A171" i="54" s="1"/>
  <c r="A172" i="54" s="1"/>
  <c r="A173" i="54" s="1"/>
  <c r="A174" i="54" s="1"/>
  <c r="A175" i="54" s="1"/>
  <c r="A176" i="54" s="1"/>
  <c r="A177" i="54" s="1"/>
  <c r="A178" i="54" s="1"/>
  <c r="A179" i="54" s="1"/>
  <c r="A180" i="54" s="1"/>
  <c r="A181" i="54" s="1"/>
  <c r="A182" i="54" s="1"/>
  <c r="A183" i="54" s="1"/>
  <c r="A184" i="54" s="1"/>
  <c r="A185" i="54" s="1"/>
  <c r="A186" i="54" s="1"/>
  <c r="A187" i="54" s="1"/>
  <c r="Q96" i="54"/>
  <c r="O96" i="54"/>
  <c r="C96" i="54"/>
  <c r="Q95" i="54"/>
  <c r="N95" i="54"/>
  <c r="C93" i="54"/>
  <c r="C92" i="54"/>
  <c r="P88" i="54"/>
  <c r="O88" i="54"/>
  <c r="X30" i="54" s="1"/>
  <c r="Z30" i="54" s="1"/>
  <c r="L88" i="54"/>
  <c r="J88" i="54"/>
  <c r="I88" i="54"/>
  <c r="G88" i="54"/>
  <c r="F88" i="54"/>
  <c r="C88" i="54"/>
  <c r="P87" i="54"/>
  <c r="O87" i="54"/>
  <c r="J87" i="54"/>
  <c r="I87" i="54"/>
  <c r="G87" i="54"/>
  <c r="F87" i="54"/>
  <c r="C87" i="54"/>
  <c r="J86" i="54"/>
  <c r="I86" i="54"/>
  <c r="G86" i="54"/>
  <c r="F86" i="54"/>
  <c r="C86" i="54"/>
  <c r="L85" i="54"/>
  <c r="J85" i="54"/>
  <c r="I85" i="54"/>
  <c r="G85" i="54"/>
  <c r="F85" i="54"/>
  <c r="C85" i="54"/>
  <c r="J84" i="54"/>
  <c r="I84" i="54"/>
  <c r="G84" i="54"/>
  <c r="F84" i="54"/>
  <c r="C84" i="54"/>
  <c r="J83" i="54"/>
  <c r="I83" i="54"/>
  <c r="G83" i="54"/>
  <c r="F83" i="54"/>
  <c r="C83" i="54"/>
  <c r="J82" i="54"/>
  <c r="I82" i="54"/>
  <c r="G82" i="54"/>
  <c r="F82" i="54"/>
  <c r="C82" i="54"/>
  <c r="J81" i="54"/>
  <c r="I81" i="54"/>
  <c r="G81" i="54"/>
  <c r="F81" i="54"/>
  <c r="C81" i="54"/>
  <c r="J80" i="54"/>
  <c r="I80" i="54"/>
  <c r="G80" i="54"/>
  <c r="F80" i="54"/>
  <c r="C80" i="54"/>
  <c r="L79" i="54"/>
  <c r="J79" i="54"/>
  <c r="I79" i="54"/>
  <c r="G79" i="54"/>
  <c r="F79" i="54"/>
  <c r="C79" i="54"/>
  <c r="J78" i="54"/>
  <c r="I78" i="54"/>
  <c r="G78" i="54"/>
  <c r="F78" i="54"/>
  <c r="C78" i="54"/>
  <c r="L77" i="54"/>
  <c r="J77" i="54"/>
  <c r="I77" i="54"/>
  <c r="G77" i="54"/>
  <c r="F77" i="54"/>
  <c r="C77" i="54"/>
  <c r="J76" i="54"/>
  <c r="I76" i="54"/>
  <c r="G76" i="54"/>
  <c r="F76" i="54"/>
  <c r="C76" i="54"/>
  <c r="I75" i="54"/>
  <c r="F75" i="54"/>
  <c r="C75" i="54"/>
  <c r="L74" i="54"/>
  <c r="J74" i="54"/>
  <c r="I74" i="54"/>
  <c r="G74" i="54"/>
  <c r="F74" i="54"/>
  <c r="O72" i="54"/>
  <c r="L72" i="54"/>
  <c r="C72" i="54"/>
  <c r="H68" i="54"/>
  <c r="G68" i="54"/>
  <c r="C68" i="54"/>
  <c r="H67" i="54"/>
  <c r="G67" i="54"/>
  <c r="C67" i="54"/>
  <c r="H66" i="54"/>
  <c r="G66" i="54"/>
  <c r="C66" i="54"/>
  <c r="H65" i="54"/>
  <c r="G65" i="54"/>
  <c r="C65" i="54"/>
  <c r="H64" i="54"/>
  <c r="G64" i="54"/>
  <c r="C64" i="54"/>
  <c r="H63" i="54"/>
  <c r="G63" i="54"/>
  <c r="C63" i="54"/>
  <c r="H62" i="54"/>
  <c r="G62" i="54"/>
  <c r="C62" i="54"/>
  <c r="H61" i="54"/>
  <c r="G61" i="54"/>
  <c r="C61" i="54"/>
  <c r="H60" i="54"/>
  <c r="G60" i="54"/>
  <c r="C60" i="54"/>
  <c r="H59" i="54"/>
  <c r="G59" i="54"/>
  <c r="C59" i="54"/>
  <c r="H58" i="54"/>
  <c r="G58" i="54"/>
  <c r="C58" i="54"/>
  <c r="H57" i="54"/>
  <c r="G57" i="54"/>
  <c r="C57" i="54"/>
  <c r="H56" i="54"/>
  <c r="G56" i="54"/>
  <c r="C56" i="54"/>
  <c r="H55" i="54"/>
  <c r="G55" i="54"/>
  <c r="C55" i="54"/>
  <c r="H54" i="54"/>
  <c r="G54" i="54"/>
  <c r="C54" i="54"/>
  <c r="H53" i="54"/>
  <c r="G53" i="54"/>
  <c r="C53" i="54"/>
  <c r="H52" i="54"/>
  <c r="C52" i="54"/>
  <c r="H51" i="54"/>
  <c r="G51" i="54"/>
  <c r="C51" i="54"/>
  <c r="L50" i="54"/>
  <c r="H50" i="54"/>
  <c r="G50" i="54"/>
  <c r="C50" i="54"/>
  <c r="H49" i="54"/>
  <c r="G49" i="54"/>
  <c r="C49" i="54"/>
  <c r="T48" i="54"/>
  <c r="H48" i="54"/>
  <c r="G48" i="54"/>
  <c r="T47" i="54"/>
  <c r="T46" i="54"/>
  <c r="C46" i="54"/>
  <c r="T45" i="54"/>
  <c r="T44" i="54"/>
  <c r="U42" i="54"/>
  <c r="J42" i="54"/>
  <c r="I42" i="54"/>
  <c r="H42" i="54"/>
  <c r="U48" i="54" s="1"/>
  <c r="G42" i="54"/>
  <c r="V59" i="54" s="1"/>
  <c r="F42" i="54"/>
  <c r="U59" i="54" s="1"/>
  <c r="C42" i="54"/>
  <c r="J41" i="54"/>
  <c r="I41" i="54"/>
  <c r="H41" i="54"/>
  <c r="V47" i="54" s="1"/>
  <c r="G41" i="54"/>
  <c r="V58" i="54" s="1"/>
  <c r="F41" i="54"/>
  <c r="U58" i="54" s="1"/>
  <c r="C41" i="54"/>
  <c r="U40" i="54"/>
  <c r="V40" i="54" s="1"/>
  <c r="J40" i="54"/>
  <c r="I40" i="54"/>
  <c r="H40" i="54"/>
  <c r="V46" i="54" s="1"/>
  <c r="G40" i="54"/>
  <c r="V57" i="54" s="1"/>
  <c r="F40" i="54"/>
  <c r="U57" i="54" s="1"/>
  <c r="C40" i="54"/>
  <c r="J39" i="54"/>
  <c r="I39" i="54"/>
  <c r="H39" i="54"/>
  <c r="V45" i="54" s="1"/>
  <c r="G39" i="54"/>
  <c r="V56" i="54" s="1"/>
  <c r="F39" i="54"/>
  <c r="U56" i="54" s="1"/>
  <c r="C39" i="54"/>
  <c r="J38" i="54"/>
  <c r="I38" i="54"/>
  <c r="H38" i="54"/>
  <c r="V44" i="54" s="1"/>
  <c r="G38" i="54"/>
  <c r="V55" i="54" s="1"/>
  <c r="F38" i="54"/>
  <c r="U55" i="54" s="1"/>
  <c r="C38" i="54"/>
  <c r="J37" i="54"/>
  <c r="Y11" i="54" s="1"/>
  <c r="I37" i="54"/>
  <c r="Y21" i="54" s="1"/>
  <c r="H37" i="54"/>
  <c r="U16" i="54" s="1"/>
  <c r="J36" i="54"/>
  <c r="I36" i="54"/>
  <c r="H36" i="54"/>
  <c r="U20" i="54" s="1"/>
  <c r="G36" i="54"/>
  <c r="C36" i="54"/>
  <c r="J35" i="54"/>
  <c r="I35" i="54"/>
  <c r="H35" i="54"/>
  <c r="U19" i="54" s="1"/>
  <c r="G35" i="54"/>
  <c r="C35" i="54"/>
  <c r="J34" i="54"/>
  <c r="I34" i="54"/>
  <c r="H34" i="54"/>
  <c r="V18" i="54" s="1"/>
  <c r="G34" i="54"/>
  <c r="C34" i="54"/>
  <c r="J33" i="54"/>
  <c r="I33" i="54"/>
  <c r="H33" i="54"/>
  <c r="V17" i="54" s="1"/>
  <c r="G33" i="54"/>
  <c r="C33" i="54"/>
  <c r="I32" i="54"/>
  <c r="H32" i="54"/>
  <c r="G32" i="54"/>
  <c r="F32" i="54"/>
  <c r="C32" i="54"/>
  <c r="L30" i="54"/>
  <c r="C30" i="54"/>
  <c r="C101" i="54" s="1"/>
  <c r="U27" i="54"/>
  <c r="V27" i="54" s="1"/>
  <c r="U26" i="54"/>
  <c r="V26" i="54" s="1"/>
  <c r="U25" i="54"/>
  <c r="V25" i="54" s="1"/>
  <c r="U24" i="54"/>
  <c r="V24" i="54" s="1"/>
  <c r="U23" i="54"/>
  <c r="V23" i="54" s="1"/>
  <c r="C10" i="54"/>
  <c r="C8" i="54"/>
  <c r="M7" i="54"/>
  <c r="C7" i="54"/>
  <c r="A7" i="54"/>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 r="A84" i="54" s="1"/>
  <c r="A85" i="54" s="1"/>
  <c r="A86" i="54" s="1"/>
  <c r="A87" i="54" s="1"/>
  <c r="A88" i="54" s="1"/>
  <c r="A89" i="54" s="1"/>
  <c r="A90" i="54" s="1"/>
  <c r="A91" i="54" s="1"/>
  <c r="A92" i="54" s="1"/>
  <c r="A93" i="54" s="1"/>
  <c r="A94" i="54" s="1"/>
  <c r="A95" i="54" s="1"/>
  <c r="A96" i="54" s="1"/>
  <c r="E3" i="54"/>
  <c r="D3" i="54"/>
  <c r="E2" i="54"/>
  <c r="D2" i="54"/>
  <c r="H84" i="54" l="1"/>
  <c r="Y29" i="54" s="1"/>
  <c r="I158" i="54"/>
  <c r="I139" i="54"/>
  <c r="I168" i="54"/>
  <c r="I161" i="54"/>
  <c r="I178" i="54"/>
  <c r="I157" i="54"/>
  <c r="J159" i="54"/>
  <c r="J121" i="54"/>
  <c r="H87" i="54"/>
  <c r="J61" i="54"/>
  <c r="J65" i="54"/>
  <c r="H77" i="54"/>
  <c r="J56" i="54"/>
  <c r="J64" i="54"/>
  <c r="Y28" i="54" s="1"/>
  <c r="H86" i="54"/>
  <c r="J58" i="54"/>
  <c r="I62" i="54"/>
  <c r="J67" i="54"/>
  <c r="I135" i="54"/>
  <c r="H78" i="54"/>
  <c r="I132" i="54"/>
  <c r="H171" i="54"/>
  <c r="H144" i="54"/>
  <c r="J137" i="54"/>
  <c r="H121" i="54"/>
  <c r="I121" i="54" s="1"/>
  <c r="X29" i="54"/>
  <c r="Z29" i="54" s="1"/>
  <c r="J60" i="54"/>
  <c r="I165" i="54"/>
  <c r="I133" i="54"/>
  <c r="G140" i="54"/>
  <c r="H166" i="54"/>
  <c r="H156" i="54"/>
  <c r="G144" i="54"/>
  <c r="H88" i="54"/>
  <c r="G37" i="54"/>
  <c r="V54" i="54" s="1"/>
  <c r="J53" i="54"/>
  <c r="H83" i="54"/>
  <c r="X106" i="54"/>
  <c r="J162" i="54"/>
  <c r="H79" i="54"/>
  <c r="J140" i="54"/>
  <c r="H85" i="54"/>
  <c r="I53" i="54"/>
  <c r="I67" i="54"/>
  <c r="J59" i="54"/>
  <c r="J62" i="54"/>
  <c r="I61" i="54"/>
  <c r="H76" i="54"/>
  <c r="J51" i="54"/>
  <c r="J55" i="54"/>
  <c r="H81" i="54"/>
  <c r="I60" i="54"/>
  <c r="I64" i="54"/>
  <c r="G181" i="54"/>
  <c r="G182" i="54" s="1"/>
  <c r="I143" i="54"/>
  <c r="I164" i="54"/>
  <c r="U18" i="54"/>
  <c r="X18" i="54" s="1"/>
  <c r="H119" i="54"/>
  <c r="H137" i="54"/>
  <c r="I131" i="54"/>
  <c r="I124" i="54"/>
  <c r="Y123" i="54" s="1"/>
  <c r="H123" i="54"/>
  <c r="U47" i="54"/>
  <c r="X47" i="54" s="1"/>
  <c r="X48" i="54"/>
  <c r="G134" i="54"/>
  <c r="H140" i="54"/>
  <c r="H159" i="54"/>
  <c r="G123" i="54"/>
  <c r="X19" i="54"/>
  <c r="I154" i="54"/>
  <c r="Q148" i="54"/>
  <c r="I146" i="54"/>
  <c r="I160" i="54"/>
  <c r="U44" i="54"/>
  <c r="X44" i="54" s="1"/>
  <c r="V48" i="54"/>
  <c r="G137" i="54"/>
  <c r="G156" i="54"/>
  <c r="I170" i="54"/>
  <c r="I138" i="54"/>
  <c r="I177" i="54"/>
  <c r="X20" i="54"/>
  <c r="U17" i="54"/>
  <c r="X17" i="54" s="1"/>
  <c r="U148" i="54"/>
  <c r="H162" i="54"/>
  <c r="I162" i="54" s="1"/>
  <c r="I155" i="54"/>
  <c r="I145" i="54"/>
  <c r="Q172" i="54"/>
  <c r="U45" i="54"/>
  <c r="X45" i="54" s="1"/>
  <c r="G166" i="54"/>
  <c r="V19" i="54"/>
  <c r="G120" i="54"/>
  <c r="H134" i="54"/>
  <c r="I136" i="54"/>
  <c r="I179" i="54"/>
  <c r="V20" i="54"/>
  <c r="H120" i="54"/>
  <c r="J108" i="54"/>
  <c r="F121" i="54"/>
  <c r="J123" i="54"/>
  <c r="J104" i="54"/>
  <c r="J120" i="54"/>
  <c r="I65" i="54"/>
  <c r="F120" i="54"/>
  <c r="V119" i="54" s="1"/>
  <c r="I51" i="54"/>
  <c r="J54" i="54"/>
  <c r="I54" i="54"/>
  <c r="Q88" i="54"/>
  <c r="Y30" i="54" s="1"/>
  <c r="H114" i="54"/>
  <c r="F108" i="54"/>
  <c r="V105" i="54" s="1"/>
  <c r="F112" i="54"/>
  <c r="V111" i="54" s="1"/>
  <c r="J49" i="54"/>
  <c r="I49" i="54"/>
  <c r="G106" i="54"/>
  <c r="H108" i="54"/>
  <c r="H175" i="54"/>
  <c r="H151" i="54"/>
  <c r="H129" i="54"/>
  <c r="F115" i="54"/>
  <c r="V114" i="54" s="1"/>
  <c r="G114" i="54"/>
  <c r="F109" i="54"/>
  <c r="J115" i="54"/>
  <c r="H115" i="54"/>
  <c r="I59" i="54"/>
  <c r="J68" i="54"/>
  <c r="I68" i="54"/>
  <c r="H105" i="54"/>
  <c r="J114" i="54"/>
  <c r="G108" i="54"/>
  <c r="J63" i="54"/>
  <c r="I63" i="54"/>
  <c r="U46" i="54"/>
  <c r="X46" i="54" s="1"/>
  <c r="I56" i="54"/>
  <c r="U62" i="54"/>
  <c r="Y63" i="54"/>
  <c r="U63" i="54"/>
  <c r="I58" i="54"/>
  <c r="J111" i="54"/>
  <c r="H111" i="54"/>
  <c r="G111" i="54"/>
  <c r="F111" i="54"/>
  <c r="V110" i="54" s="1"/>
  <c r="G115" i="54"/>
  <c r="V50" i="54"/>
  <c r="Y16" i="54"/>
  <c r="V51" i="54"/>
  <c r="J105" i="54"/>
  <c r="J112" i="54"/>
  <c r="G112" i="54"/>
  <c r="F123" i="54"/>
  <c r="V122" i="54" s="1"/>
  <c r="H112" i="54"/>
  <c r="H147" i="54"/>
  <c r="F114" i="54"/>
  <c r="J119" i="54"/>
  <c r="G116" i="54"/>
  <c r="G109" i="54"/>
  <c r="G104" i="54"/>
  <c r="H106" i="54"/>
  <c r="F105" i="54"/>
  <c r="V102" i="54" s="1"/>
  <c r="G169" i="54"/>
  <c r="F119" i="54"/>
  <c r="Z42" i="54"/>
  <c r="Y42" i="54"/>
  <c r="V42" i="54"/>
  <c r="V16" i="54"/>
  <c r="Z16" i="54" s="1"/>
  <c r="H109" i="54"/>
  <c r="I55" i="54"/>
  <c r="J66" i="54"/>
  <c r="I66" i="54"/>
  <c r="H82" i="54"/>
  <c r="H104" i="54"/>
  <c r="G159" i="54"/>
  <c r="J50" i="54"/>
  <c r="I50" i="54"/>
  <c r="J57" i="54"/>
  <c r="I57" i="54"/>
  <c r="H80" i="54"/>
  <c r="F104" i="54"/>
  <c r="U106" i="54"/>
  <c r="J109" i="54"/>
  <c r="H116" i="54"/>
  <c r="I142" i="54"/>
  <c r="G119" i="54"/>
  <c r="G105" i="54"/>
  <c r="H181" i="54"/>
  <c r="H182" i="54" s="1"/>
  <c r="W28" i="54"/>
  <c r="Z28" i="54" s="1"/>
  <c r="I153" i="54"/>
  <c r="I163" i="54"/>
  <c r="I144" i="54" l="1"/>
  <c r="G147" i="54"/>
  <c r="I147" i="54" s="1"/>
  <c r="H122" i="54"/>
  <c r="H125" i="54" s="1"/>
  <c r="I156" i="54"/>
  <c r="I137" i="54"/>
  <c r="I166" i="54"/>
  <c r="J122" i="54"/>
  <c r="X16" i="54"/>
  <c r="I140" i="54"/>
  <c r="I181" i="54"/>
  <c r="V106" i="54"/>
  <c r="I159" i="54"/>
  <c r="Y47" i="54"/>
  <c r="J110" i="54"/>
  <c r="U36" i="54" s="1"/>
  <c r="V36" i="54" s="1"/>
  <c r="H167" i="54"/>
  <c r="H172" i="54" s="1"/>
  <c r="H141" i="54"/>
  <c r="H148" i="54" s="1"/>
  <c r="I123" i="54"/>
  <c r="Y122" i="54" s="1"/>
  <c r="I120" i="54"/>
  <c r="Y119" i="54" s="1"/>
  <c r="I106" i="54"/>
  <c r="I134" i="54"/>
  <c r="G167" i="54"/>
  <c r="I182" i="54"/>
  <c r="G141" i="54"/>
  <c r="V101" i="54"/>
  <c r="I105" i="54"/>
  <c r="Y102" i="54" s="1"/>
  <c r="H107" i="54"/>
  <c r="G117" i="54"/>
  <c r="I114" i="54"/>
  <c r="Y113" i="54" s="1"/>
  <c r="I169" i="54"/>
  <c r="G171" i="54"/>
  <c r="I171" i="54" s="1"/>
  <c r="G110" i="54"/>
  <c r="I108" i="54"/>
  <c r="Y105" i="54" s="1"/>
  <c r="F122" i="54"/>
  <c r="V118" i="54"/>
  <c r="F110" i="54"/>
  <c r="H117" i="54"/>
  <c r="G107" i="54"/>
  <c r="I104" i="54"/>
  <c r="Y101" i="54" s="1"/>
  <c r="I115" i="54"/>
  <c r="Y114" i="54" s="1"/>
  <c r="I109" i="54"/>
  <c r="Y106" i="54" s="1"/>
  <c r="F113" i="54"/>
  <c r="S182" i="54"/>
  <c r="I116" i="54"/>
  <c r="V113" i="54"/>
  <c r="I111" i="54"/>
  <c r="Y110" i="54" s="1"/>
  <c r="G113" i="54"/>
  <c r="I119" i="54"/>
  <c r="Y118" i="54" s="1"/>
  <c r="G122" i="54"/>
  <c r="I112" i="54"/>
  <c r="Y111" i="54" s="1"/>
  <c r="H113" i="54"/>
  <c r="J113" i="54"/>
  <c r="U37" i="54" s="1"/>
  <c r="V37" i="54" s="1"/>
  <c r="H110" i="54"/>
  <c r="I167" i="54" l="1"/>
  <c r="I110" i="54"/>
  <c r="Y109" i="54" s="1"/>
  <c r="H118" i="54"/>
  <c r="H126" i="54" s="1"/>
  <c r="U21" i="54" s="1"/>
  <c r="V21" i="54" s="1"/>
  <c r="Z21" i="54" s="1"/>
  <c r="G148" i="54"/>
  <c r="I141" i="54"/>
  <c r="V121" i="54"/>
  <c r="G118" i="54"/>
  <c r="I107" i="54"/>
  <c r="Y104" i="54" s="1"/>
  <c r="I122" i="54"/>
  <c r="Y121" i="54" s="1"/>
  <c r="G125" i="54"/>
  <c r="I125" i="54" s="1"/>
  <c r="Y124" i="54" s="1"/>
  <c r="I117" i="54"/>
  <c r="Y116" i="54" s="1"/>
  <c r="V109" i="54"/>
  <c r="F34" i="54"/>
  <c r="F35" i="54"/>
  <c r="V112" i="54"/>
  <c r="I113" i="54"/>
  <c r="Y112" i="54" s="1"/>
  <c r="G172" i="54"/>
  <c r="S148" i="54" l="1"/>
  <c r="I148" i="54"/>
  <c r="I118" i="54"/>
  <c r="Y117" i="54" s="1"/>
  <c r="G126" i="54"/>
  <c r="I126" i="54" s="1"/>
  <c r="Y125" i="54" s="1"/>
  <c r="I172" i="54"/>
  <c r="S172" i="54"/>
  <c r="U42" i="40" l="1"/>
  <c r="Z42" i="40" l="1"/>
  <c r="Y42" i="40"/>
  <c r="Q177" i="40"/>
  <c r="O177" i="40"/>
  <c r="L177" i="40"/>
  <c r="U27" i="40" l="1"/>
  <c r="U26" i="40"/>
  <c r="U25" i="40"/>
  <c r="U24" i="40"/>
  <c r="U23" i="40"/>
  <c r="U100" i="40" l="1"/>
  <c r="J180" i="40" l="1"/>
  <c r="C180" i="40"/>
  <c r="I180" i="40"/>
  <c r="F181" i="40" l="1"/>
  <c r="L158" i="40" l="1"/>
  <c r="L154" i="40"/>
  <c r="O154" i="40"/>
  <c r="Q154" i="40"/>
  <c r="L155" i="40"/>
  <c r="O155" i="40"/>
  <c r="Q155" i="40"/>
  <c r="L156" i="40"/>
  <c r="O156" i="40"/>
  <c r="Q156" i="40"/>
  <c r="L157" i="40"/>
  <c r="O157" i="40"/>
  <c r="Q157" i="40"/>
  <c r="O158" i="40"/>
  <c r="Q158" i="40"/>
  <c r="L159" i="40"/>
  <c r="O159" i="40"/>
  <c r="Q159" i="40"/>
  <c r="L160" i="40"/>
  <c r="O160" i="40"/>
  <c r="Q160" i="40"/>
  <c r="L161" i="40"/>
  <c r="O161" i="40"/>
  <c r="Q161" i="40"/>
  <c r="L162" i="40"/>
  <c r="O162" i="40"/>
  <c r="Q162" i="40"/>
  <c r="L163" i="40"/>
  <c r="O163" i="40"/>
  <c r="Q163" i="40"/>
  <c r="L164" i="40"/>
  <c r="O164" i="40"/>
  <c r="Q164" i="40"/>
  <c r="L165" i="40"/>
  <c r="O165" i="40"/>
  <c r="Q165" i="40"/>
  <c r="L166" i="40"/>
  <c r="O166" i="40"/>
  <c r="Q166" i="40"/>
  <c r="L167" i="40"/>
  <c r="O167" i="40"/>
  <c r="Q167" i="40"/>
  <c r="L168" i="40"/>
  <c r="O168" i="40"/>
  <c r="L169" i="40"/>
  <c r="O169" i="40"/>
  <c r="Q169" i="40"/>
  <c r="L170" i="40"/>
  <c r="O170" i="40"/>
  <c r="Q170" i="40"/>
  <c r="L171" i="40"/>
  <c r="O171" i="40"/>
  <c r="Q171" i="40"/>
  <c r="Q183" i="40"/>
  <c r="L138" i="40"/>
  <c r="O138" i="40"/>
  <c r="L139" i="40"/>
  <c r="Q138" i="40"/>
  <c r="L132" i="40"/>
  <c r="L133" i="40"/>
  <c r="L134" i="40"/>
  <c r="L135" i="40"/>
  <c r="L136" i="40"/>
  <c r="L137" i="40"/>
  <c r="O137" i="40"/>
  <c r="O132" i="40"/>
  <c r="Q132" i="40"/>
  <c r="Q133" i="40"/>
  <c r="Q134" i="40"/>
  <c r="O135" i="40"/>
  <c r="Q135" i="40"/>
  <c r="Q136" i="40"/>
  <c r="O134" i="40" l="1"/>
  <c r="O136" i="40"/>
  <c r="O133" i="40"/>
  <c r="O139" i="40" l="1"/>
  <c r="Q139" i="40" l="1"/>
  <c r="Q137" i="40" l="1"/>
  <c r="I83" i="40" l="1"/>
  <c r="J88" i="40"/>
  <c r="J87" i="40"/>
  <c r="J86" i="40"/>
  <c r="J85" i="40"/>
  <c r="J84" i="40"/>
  <c r="J83" i="40"/>
  <c r="J82" i="40"/>
  <c r="J81" i="40"/>
  <c r="J80" i="40"/>
  <c r="J79" i="40"/>
  <c r="J78" i="40"/>
  <c r="J77" i="40"/>
  <c r="J76" i="40"/>
  <c r="I88" i="40"/>
  <c r="P88" i="40"/>
  <c r="G88" i="40"/>
  <c r="G87" i="40"/>
  <c r="G86" i="40"/>
  <c r="G85" i="40"/>
  <c r="G84" i="40"/>
  <c r="G83" i="40"/>
  <c r="G82" i="40"/>
  <c r="G81" i="40"/>
  <c r="G80" i="40"/>
  <c r="G79" i="40"/>
  <c r="G78" i="40"/>
  <c r="G77" i="40"/>
  <c r="G76" i="40"/>
  <c r="H68" i="40"/>
  <c r="H67" i="40"/>
  <c r="H66" i="40"/>
  <c r="H65" i="40"/>
  <c r="H64" i="40"/>
  <c r="H63" i="40"/>
  <c r="H62" i="40"/>
  <c r="H61" i="40"/>
  <c r="H60" i="40"/>
  <c r="H59" i="40"/>
  <c r="H58" i="40"/>
  <c r="H57" i="40"/>
  <c r="H56" i="40"/>
  <c r="H55" i="40"/>
  <c r="H54" i="40"/>
  <c r="H53" i="40"/>
  <c r="H52" i="40"/>
  <c r="H51" i="40"/>
  <c r="H50" i="40"/>
  <c r="H49" i="40"/>
  <c r="G42" i="40"/>
  <c r="V59" i="40" s="1"/>
  <c r="G41" i="40"/>
  <c r="V58" i="40" s="1"/>
  <c r="G40" i="40"/>
  <c r="V57" i="40" s="1"/>
  <c r="G39" i="40"/>
  <c r="V56" i="40" s="1"/>
  <c r="G38" i="40"/>
  <c r="V55" i="40" s="1"/>
  <c r="G36" i="40"/>
  <c r="G35" i="40"/>
  <c r="G34" i="40"/>
  <c r="G33" i="40"/>
  <c r="D85" i="34"/>
  <c r="D84" i="34"/>
  <c r="D83" i="34"/>
  <c r="D82" i="34"/>
  <c r="D81" i="34"/>
  <c r="F88" i="40"/>
  <c r="Q153" i="40" l="1"/>
  <c r="O153" i="40"/>
  <c r="L153" i="40"/>
  <c r="T148" i="40"/>
  <c r="Q131" i="40"/>
  <c r="O131" i="40"/>
  <c r="L131" i="40"/>
  <c r="H179" i="40"/>
  <c r="G179" i="40"/>
  <c r="H178" i="40"/>
  <c r="G178" i="40"/>
  <c r="H177" i="40"/>
  <c r="G177" i="40"/>
  <c r="H170" i="40"/>
  <c r="G170" i="40"/>
  <c r="H168" i="40"/>
  <c r="G168" i="40"/>
  <c r="H165" i="40"/>
  <c r="G165" i="40"/>
  <c r="H164" i="40"/>
  <c r="G164" i="40"/>
  <c r="H163" i="40"/>
  <c r="G163" i="40"/>
  <c r="H161" i="40"/>
  <c r="G161" i="40"/>
  <c r="H160" i="40"/>
  <c r="G160" i="40"/>
  <c r="H158" i="40"/>
  <c r="G158" i="40"/>
  <c r="H157" i="40"/>
  <c r="G157" i="40"/>
  <c r="H155" i="40"/>
  <c r="G155" i="40"/>
  <c r="H154" i="40"/>
  <c r="G154" i="40"/>
  <c r="H153" i="40"/>
  <c r="G153" i="40"/>
  <c r="H145" i="40"/>
  <c r="G145" i="40"/>
  <c r="H143" i="40"/>
  <c r="G143" i="40"/>
  <c r="H142" i="40"/>
  <c r="G142" i="40"/>
  <c r="H139" i="40"/>
  <c r="G139" i="40"/>
  <c r="H138" i="40"/>
  <c r="G138" i="40"/>
  <c r="H136" i="40"/>
  <c r="G136" i="40"/>
  <c r="H135" i="40"/>
  <c r="G135" i="40"/>
  <c r="H133" i="40"/>
  <c r="G133" i="40"/>
  <c r="H132" i="40"/>
  <c r="G132" i="40"/>
  <c r="H131" i="40"/>
  <c r="G131" i="40"/>
  <c r="J42" i="40"/>
  <c r="I42" i="40"/>
  <c r="H42" i="40"/>
  <c r="J41" i="40"/>
  <c r="I41" i="40"/>
  <c r="H41" i="40"/>
  <c r="H40" i="40"/>
  <c r="H39" i="40"/>
  <c r="J38" i="40"/>
  <c r="I38" i="40"/>
  <c r="H38" i="40"/>
  <c r="J37" i="40"/>
  <c r="I37" i="40"/>
  <c r="H37" i="40"/>
  <c r="Y16" i="40" s="1"/>
  <c r="J36" i="40"/>
  <c r="I36" i="40"/>
  <c r="H36" i="40"/>
  <c r="J35" i="40"/>
  <c r="I35" i="40"/>
  <c r="H35" i="40"/>
  <c r="J34" i="40"/>
  <c r="I34" i="40"/>
  <c r="H34" i="40"/>
  <c r="J33" i="40"/>
  <c r="I33" i="40"/>
  <c r="H33" i="40"/>
  <c r="X125" i="40"/>
  <c r="X124" i="40"/>
  <c r="X123" i="40"/>
  <c r="X122" i="40"/>
  <c r="X121" i="40"/>
  <c r="X120" i="40"/>
  <c r="X119" i="40"/>
  <c r="X118" i="40"/>
  <c r="X117" i="40"/>
  <c r="X116" i="40"/>
  <c r="X115" i="40"/>
  <c r="X114" i="40"/>
  <c r="X113" i="40"/>
  <c r="X112" i="40"/>
  <c r="X111" i="40"/>
  <c r="X110" i="40"/>
  <c r="X109" i="40"/>
  <c r="X108" i="40"/>
  <c r="X107" i="40"/>
  <c r="X105" i="40"/>
  <c r="X104" i="40"/>
  <c r="X103" i="40"/>
  <c r="X102" i="40"/>
  <c r="X101" i="40"/>
  <c r="U40" i="40"/>
  <c r="E3" i="40"/>
  <c r="E2" i="40"/>
  <c r="G123" i="40" l="1"/>
  <c r="H123" i="40"/>
  <c r="M7" i="40"/>
  <c r="D86" i="34" l="1"/>
  <c r="Q172" i="40"/>
  <c r="U44" i="40"/>
  <c r="V50" i="40" l="1"/>
  <c r="C140" i="53"/>
  <c r="C162" i="53"/>
  <c r="J74" i="40" l="1"/>
  <c r="I74" i="40"/>
  <c r="C161" i="40" l="1"/>
  <c r="J39" i="40" l="1"/>
  <c r="I39" i="40"/>
  <c r="J40" i="40"/>
  <c r="I40" i="40"/>
  <c r="H61" i="53"/>
  <c r="H53" i="53"/>
  <c r="H56" i="53"/>
  <c r="H64" i="53"/>
  <c r="H49" i="53"/>
  <c r="H65" i="53"/>
  <c r="H66" i="53"/>
  <c r="H67" i="53"/>
  <c r="H68" i="53"/>
  <c r="V27" i="40"/>
  <c r="V26" i="40"/>
  <c r="V25" i="40"/>
  <c r="V23" i="40"/>
  <c r="V24" i="40" l="1"/>
  <c r="C52" i="40" l="1"/>
  <c r="C51" i="40"/>
  <c r="C50" i="40"/>
  <c r="H48" i="40"/>
  <c r="G48" i="40"/>
  <c r="C68" i="40" l="1"/>
  <c r="C67" i="40"/>
  <c r="C66" i="40"/>
  <c r="C65" i="40"/>
  <c r="C7" i="40" l="1"/>
  <c r="C83" i="40" l="1"/>
  <c r="C82" i="40"/>
  <c r="N2" i="53" l="1"/>
  <c r="E2" i="53"/>
  <c r="E3" i="53"/>
  <c r="C3" i="53"/>
  <c r="C2" i="53"/>
  <c r="C88" i="40"/>
  <c r="C87" i="40"/>
  <c r="C86" i="40"/>
  <c r="C85" i="40"/>
  <c r="C75" i="40"/>
  <c r="C81" i="40"/>
  <c r="C80" i="40"/>
  <c r="C76" i="40"/>
  <c r="C77" i="40"/>
  <c r="C78" i="40"/>
  <c r="C79" i="40"/>
  <c r="H48" i="53" l="1"/>
  <c r="I74" i="53"/>
  <c r="G48" i="53"/>
  <c r="H74" i="53"/>
  <c r="H2" i="53"/>
  <c r="C60" i="40" l="1"/>
  <c r="C63" i="40"/>
  <c r="C62" i="40"/>
  <c r="C61" i="40"/>
  <c r="C59" i="40"/>
  <c r="C58" i="40"/>
  <c r="C57" i="40"/>
  <c r="C56" i="40"/>
  <c r="C55" i="40"/>
  <c r="C54" i="40"/>
  <c r="C53" i="40"/>
  <c r="C49" i="40"/>
  <c r="C186" i="40"/>
  <c r="C93" i="40" l="1"/>
  <c r="C139" i="40" l="1"/>
  <c r="C112" i="40"/>
  <c r="C92" i="40" l="1"/>
  <c r="T48" i="40" l="1"/>
  <c r="T47" i="40"/>
  <c r="T46" i="40"/>
  <c r="T45" i="40"/>
  <c r="T44" i="40"/>
  <c r="D55" i="34" l="1"/>
  <c r="D57" i="34"/>
  <c r="D53" i="34"/>
  <c r="D2" i="40" l="1"/>
  <c r="D2" i="53" s="1"/>
  <c r="D52" i="34" l="1"/>
  <c r="C52" i="34"/>
  <c r="C42" i="40" l="1"/>
  <c r="C41" i="40"/>
  <c r="L50" i="40" l="1"/>
  <c r="J170" i="53" l="1"/>
  <c r="J148" i="53"/>
  <c r="J147" i="53"/>
  <c r="J145" i="53"/>
  <c r="N109" i="53"/>
  <c r="Q187" i="53"/>
  <c r="O187" i="53"/>
  <c r="C187" i="53"/>
  <c r="Q186" i="53"/>
  <c r="N186" i="53"/>
  <c r="C186" i="53"/>
  <c r="C185" i="53"/>
  <c r="L183" i="53"/>
  <c r="C183" i="53"/>
  <c r="L182" i="53"/>
  <c r="C182" i="53"/>
  <c r="C181" i="53"/>
  <c r="C180" i="53"/>
  <c r="C179" i="53"/>
  <c r="C178" i="53"/>
  <c r="O177" i="53"/>
  <c r="L177" i="53"/>
  <c r="J177" i="53"/>
  <c r="H177" i="53"/>
  <c r="G177" i="53"/>
  <c r="F177" i="53"/>
  <c r="L175" i="53"/>
  <c r="C175" i="53"/>
  <c r="L173" i="53"/>
  <c r="C173" i="53"/>
  <c r="C172" i="53"/>
  <c r="C171" i="53"/>
  <c r="C170" i="53"/>
  <c r="C169" i="53"/>
  <c r="C168" i="53"/>
  <c r="C167" i="53"/>
  <c r="C166" i="53"/>
  <c r="C165" i="53"/>
  <c r="C164" i="53"/>
  <c r="C163" i="53"/>
  <c r="C161" i="53"/>
  <c r="C160" i="53"/>
  <c r="C159" i="53"/>
  <c r="C158" i="53"/>
  <c r="C157" i="53"/>
  <c r="C156" i="53"/>
  <c r="C155" i="53"/>
  <c r="C154" i="53"/>
  <c r="O153" i="53"/>
  <c r="L153" i="53"/>
  <c r="J153" i="53"/>
  <c r="H153" i="53"/>
  <c r="G153" i="53"/>
  <c r="F153" i="53"/>
  <c r="L151" i="53"/>
  <c r="C151" i="53"/>
  <c r="L149" i="53"/>
  <c r="C149" i="53"/>
  <c r="C148" i="53"/>
  <c r="C147" i="53"/>
  <c r="C146" i="53"/>
  <c r="C145" i="53"/>
  <c r="C144" i="53"/>
  <c r="C143" i="53"/>
  <c r="C142" i="53"/>
  <c r="C141" i="53"/>
  <c r="C139" i="53"/>
  <c r="C138" i="53"/>
  <c r="C137" i="53"/>
  <c r="C136" i="53"/>
  <c r="C135" i="53"/>
  <c r="C134" i="53"/>
  <c r="C133" i="53"/>
  <c r="C132" i="53"/>
  <c r="O131" i="53"/>
  <c r="L131" i="53"/>
  <c r="J131" i="53"/>
  <c r="H131" i="53"/>
  <c r="G131" i="53"/>
  <c r="F131" i="53"/>
  <c r="L129" i="53"/>
  <c r="C129" i="53"/>
  <c r="L127" i="53"/>
  <c r="C126" i="53"/>
  <c r="L126" i="53"/>
  <c r="C125" i="53"/>
  <c r="L125" i="53"/>
  <c r="C124" i="53"/>
  <c r="L124" i="53"/>
  <c r="C123" i="53"/>
  <c r="L123" i="53"/>
  <c r="L122" i="53"/>
  <c r="C122" i="53"/>
  <c r="C121" i="53"/>
  <c r="C120" i="53"/>
  <c r="C119" i="53"/>
  <c r="C118" i="53"/>
  <c r="C117" i="53"/>
  <c r="C116" i="53"/>
  <c r="C115" i="53"/>
  <c r="C114" i="53"/>
  <c r="C113" i="53"/>
  <c r="C112" i="53"/>
  <c r="C111" i="53"/>
  <c r="C110" i="53"/>
  <c r="C109" i="53"/>
  <c r="C108" i="53"/>
  <c r="C107" i="53"/>
  <c r="C106" i="53"/>
  <c r="C105" i="53"/>
  <c r="C104" i="53"/>
  <c r="J103" i="53"/>
  <c r="H103" i="53"/>
  <c r="G103" i="53"/>
  <c r="F103" i="53"/>
  <c r="L101" i="53"/>
  <c r="C99" i="53"/>
  <c r="M98" i="53"/>
  <c r="C98" i="53"/>
  <c r="A98" i="53"/>
  <c r="A99" i="53" s="1"/>
  <c r="A100" i="53" s="1"/>
  <c r="A101" i="53" s="1"/>
  <c r="A102" i="53" s="1"/>
  <c r="A103" i="53" s="1"/>
  <c r="A104" i="53" s="1"/>
  <c r="A105" i="53" s="1"/>
  <c r="A106" i="53" s="1"/>
  <c r="A107" i="53" s="1"/>
  <c r="A108" i="53" s="1"/>
  <c r="A109" i="53" s="1"/>
  <c r="A110" i="53" s="1"/>
  <c r="A111" i="53" s="1"/>
  <c r="A112" i="53" s="1"/>
  <c r="A113" i="53" s="1"/>
  <c r="A114" i="53" s="1"/>
  <c r="A115" i="53" s="1"/>
  <c r="A116" i="53" s="1"/>
  <c r="A117" i="53" s="1"/>
  <c r="A118" i="53" s="1"/>
  <c r="A119" i="53" s="1"/>
  <c r="A120" i="53" s="1"/>
  <c r="A121" i="53" s="1"/>
  <c r="A122" i="53" s="1"/>
  <c r="A123" i="53" s="1"/>
  <c r="A124" i="53" s="1"/>
  <c r="A125" i="53" s="1"/>
  <c r="A126" i="53" s="1"/>
  <c r="A127" i="53" s="1"/>
  <c r="A128" i="53" s="1"/>
  <c r="A129" i="53" s="1"/>
  <c r="A130" i="53" s="1"/>
  <c r="A131" i="53" s="1"/>
  <c r="A132" i="53" s="1"/>
  <c r="A133" i="53" s="1"/>
  <c r="A134" i="53" s="1"/>
  <c r="A135" i="53" s="1"/>
  <c r="A136" i="53" s="1"/>
  <c r="A137" i="53" s="1"/>
  <c r="A138" i="53" s="1"/>
  <c r="A139" i="53" s="1"/>
  <c r="A140" i="53" s="1"/>
  <c r="A141" i="53" s="1"/>
  <c r="A142" i="53" s="1"/>
  <c r="A143" i="53" s="1"/>
  <c r="A144" i="53" s="1"/>
  <c r="A145" i="53" s="1"/>
  <c r="A146" i="53" s="1"/>
  <c r="A147" i="53" s="1"/>
  <c r="A148" i="53" s="1"/>
  <c r="A149" i="53" s="1"/>
  <c r="A150" i="53" s="1"/>
  <c r="A151" i="53" s="1"/>
  <c r="A152" i="53" s="1"/>
  <c r="A153" i="53" s="1"/>
  <c r="A154" i="53" s="1"/>
  <c r="A155" i="53" s="1"/>
  <c r="A156" i="53" s="1"/>
  <c r="A157" i="53" s="1"/>
  <c r="A158" i="53" s="1"/>
  <c r="A159" i="53" s="1"/>
  <c r="A160" i="53" s="1"/>
  <c r="A161" i="53" s="1"/>
  <c r="A162" i="53" s="1"/>
  <c r="A163" i="53" s="1"/>
  <c r="A164" i="53" s="1"/>
  <c r="A165" i="53" s="1"/>
  <c r="A166" i="53" s="1"/>
  <c r="A167" i="53" s="1"/>
  <c r="A168" i="53" s="1"/>
  <c r="A169" i="53" s="1"/>
  <c r="A170" i="53" s="1"/>
  <c r="A171" i="53" s="1"/>
  <c r="A172" i="53" s="1"/>
  <c r="A173" i="53" s="1"/>
  <c r="A174" i="53" s="1"/>
  <c r="A175" i="53" s="1"/>
  <c r="A176" i="53" s="1"/>
  <c r="A177" i="53" s="1"/>
  <c r="A178" i="53" s="1"/>
  <c r="A179" i="53" s="1"/>
  <c r="A180" i="53" s="1"/>
  <c r="A181" i="53" s="1"/>
  <c r="A182" i="53" s="1"/>
  <c r="A183" i="53" s="1"/>
  <c r="A184" i="53" s="1"/>
  <c r="A185" i="53" s="1"/>
  <c r="A186" i="53" s="1"/>
  <c r="A187" i="53" s="1"/>
  <c r="Q96" i="53"/>
  <c r="O96" i="53"/>
  <c r="C96" i="53"/>
  <c r="Q95" i="53"/>
  <c r="N95" i="53"/>
  <c r="L90" i="53"/>
  <c r="P89" i="53"/>
  <c r="O89" i="53"/>
  <c r="L87" i="53"/>
  <c r="L79" i="53"/>
  <c r="L75" i="53"/>
  <c r="L71" i="53"/>
  <c r="O67" i="53"/>
  <c r="L67" i="53"/>
  <c r="O49" i="53"/>
  <c r="C40" i="53"/>
  <c r="C39" i="53"/>
  <c r="C38" i="53"/>
  <c r="C36" i="53"/>
  <c r="C35" i="53"/>
  <c r="C34" i="53"/>
  <c r="C33" i="53"/>
  <c r="I32" i="53"/>
  <c r="H32" i="53"/>
  <c r="G32" i="53"/>
  <c r="F32" i="53"/>
  <c r="C32" i="53"/>
  <c r="L30" i="53"/>
  <c r="C30" i="53"/>
  <c r="C101" i="53" s="1"/>
  <c r="C10" i="53"/>
  <c r="C8" i="53"/>
  <c r="M7" i="53"/>
  <c r="C7" i="53"/>
  <c r="A7" i="53"/>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C38" i="40" l="1"/>
  <c r="C39" i="40"/>
  <c r="C40" i="40"/>
  <c r="C160" i="40" l="1"/>
  <c r="C138" i="40"/>
  <c r="C111" i="40"/>
  <c r="C185" i="40" l="1"/>
  <c r="X106" i="40" l="1"/>
  <c r="L126" i="40" l="1"/>
  <c r="B65" i="34"/>
  <c r="H44" i="34"/>
  <c r="H45" i="34"/>
  <c r="H46" i="34"/>
  <c r="H39" i="34"/>
  <c r="H38" i="34"/>
  <c r="H37" i="34"/>
  <c r="C168" i="40" l="1"/>
  <c r="C145" i="40"/>
  <c r="O176" i="40" l="1"/>
  <c r="L176" i="40"/>
  <c r="T106" i="40" l="1"/>
  <c r="C179" i="40" l="1"/>
  <c r="C178" i="40"/>
  <c r="C158" i="40"/>
  <c r="C136" i="40"/>
  <c r="C109" i="40"/>
  <c r="D3" i="40" l="1"/>
  <c r="D3" i="53" s="1"/>
  <c r="M98" i="40" l="1"/>
  <c r="D80" i="34" l="1"/>
  <c r="C80" i="34"/>
  <c r="C172" i="40"/>
  <c r="C148" i="40"/>
  <c r="C126" i="40"/>
  <c r="L88" i="40"/>
  <c r="C84" i="40"/>
  <c r="C64" i="40"/>
  <c r="L121" i="40" l="1"/>
  <c r="L122" i="40"/>
  <c r="L125" i="40"/>
  <c r="L124" i="40"/>
  <c r="L123" i="40"/>
  <c r="B64" i="34" l="1"/>
  <c r="B63" i="34"/>
  <c r="B62" i="34"/>
  <c r="B54" i="34"/>
  <c r="B71" i="34" l="1"/>
  <c r="B46" i="34"/>
  <c r="B39" i="34"/>
  <c r="B30" i="34"/>
  <c r="B23" i="34"/>
  <c r="B13" i="34"/>
  <c r="T124" i="40" l="1"/>
  <c r="T123" i="40"/>
  <c r="T122" i="40"/>
  <c r="T121" i="40"/>
  <c r="T120" i="40"/>
  <c r="T119" i="40"/>
  <c r="T118" i="40"/>
  <c r="T117" i="40"/>
  <c r="T116" i="40"/>
  <c r="T115" i="40"/>
  <c r="T114" i="40"/>
  <c r="T113" i="40"/>
  <c r="T112" i="40"/>
  <c r="T110" i="40"/>
  <c r="T109" i="40"/>
  <c r="T108" i="40"/>
  <c r="T107" i="40"/>
  <c r="T105" i="40"/>
  <c r="T104" i="40"/>
  <c r="T103" i="40"/>
  <c r="T102" i="40"/>
  <c r="T101" i="40"/>
  <c r="C124" i="40" l="1"/>
  <c r="C170" i="40" l="1"/>
  <c r="G32" i="40" l="1"/>
  <c r="H102" i="40" l="1"/>
  <c r="H175" i="40" s="1"/>
  <c r="H129" i="40" l="1"/>
  <c r="H151" i="40"/>
  <c r="B12" i="34"/>
  <c r="B5" i="34"/>
  <c r="B56" i="34" l="1"/>
  <c r="B74" i="34"/>
  <c r="C165" i="40"/>
  <c r="C164" i="40"/>
  <c r="C116" i="40"/>
  <c r="C115" i="40"/>
  <c r="L174" i="40" l="1"/>
  <c r="C153" i="40" l="1"/>
  <c r="C154" i="40"/>
  <c r="H176" i="40" l="1"/>
  <c r="G176" i="40"/>
  <c r="H152" i="40"/>
  <c r="G152" i="40"/>
  <c r="H130" i="40"/>
  <c r="G130" i="40"/>
  <c r="H103" i="40"/>
  <c r="G103" i="40"/>
  <c r="C61" i="43" l="1"/>
  <c r="I61" i="43" l="1"/>
  <c r="J167" i="43" l="1"/>
  <c r="J148" i="43"/>
  <c r="J145" i="43"/>
  <c r="J147" i="43"/>
  <c r="Q187" i="43" l="1"/>
  <c r="O187" i="43"/>
  <c r="C187" i="43"/>
  <c r="Q186" i="43"/>
  <c r="N186" i="43"/>
  <c r="C185" i="43"/>
  <c r="L180" i="43"/>
  <c r="C180" i="43"/>
  <c r="L178" i="43"/>
  <c r="C178" i="43"/>
  <c r="C177" i="43"/>
  <c r="C176" i="43"/>
  <c r="C175" i="43"/>
  <c r="N174" i="43"/>
  <c r="L174" i="43"/>
  <c r="J174" i="43"/>
  <c r="L172" i="43"/>
  <c r="C172" i="43"/>
  <c r="L169" i="43"/>
  <c r="C169" i="43"/>
  <c r="C168" i="43"/>
  <c r="C167" i="43"/>
  <c r="C166" i="43"/>
  <c r="C165" i="43"/>
  <c r="C164" i="43"/>
  <c r="C163" i="43"/>
  <c r="C162" i="43"/>
  <c r="C161" i="43"/>
  <c r="C160" i="43"/>
  <c r="C159" i="43"/>
  <c r="C158" i="43"/>
  <c r="C157" i="43"/>
  <c r="C156" i="43"/>
  <c r="C155" i="43"/>
  <c r="N154" i="43"/>
  <c r="L154" i="43"/>
  <c r="J154" i="43"/>
  <c r="L152" i="43"/>
  <c r="C152" i="43"/>
  <c r="L149" i="43"/>
  <c r="C149" i="43"/>
  <c r="C148" i="43"/>
  <c r="C147" i="43"/>
  <c r="C146" i="43"/>
  <c r="C145" i="43"/>
  <c r="C144" i="43"/>
  <c r="C143" i="43"/>
  <c r="C141" i="43"/>
  <c r="C140" i="43"/>
  <c r="C139" i="43"/>
  <c r="C138" i="43"/>
  <c r="C137" i="43"/>
  <c r="C136" i="43"/>
  <c r="C135" i="43"/>
  <c r="C134" i="43"/>
  <c r="C133" i="43"/>
  <c r="C132" i="43"/>
  <c r="C131" i="43"/>
  <c r="N130" i="43"/>
  <c r="L130" i="43"/>
  <c r="J130" i="43"/>
  <c r="L128" i="43"/>
  <c r="C128" i="43"/>
  <c r="C125" i="43"/>
  <c r="C124" i="43"/>
  <c r="C123" i="43"/>
  <c r="C122" i="43"/>
  <c r="C121" i="43"/>
  <c r="C120" i="43"/>
  <c r="C119" i="43"/>
  <c r="C118" i="43"/>
  <c r="C116" i="43"/>
  <c r="C115" i="43"/>
  <c r="C114" i="43"/>
  <c r="C113" i="43"/>
  <c r="C112" i="43"/>
  <c r="C111" i="43"/>
  <c r="C110" i="43"/>
  <c r="C109" i="43"/>
  <c r="C108" i="43"/>
  <c r="C107" i="43"/>
  <c r="C106" i="43"/>
  <c r="C105" i="43"/>
  <c r="C104" i="43"/>
  <c r="J103" i="43"/>
  <c r="L101" i="43"/>
  <c r="C101" i="43"/>
  <c r="C99" i="43"/>
  <c r="C98" i="43"/>
  <c r="A98" i="43"/>
  <c r="A99" i="43" s="1"/>
  <c r="A100" i="43" s="1"/>
  <c r="A101" i="43" s="1"/>
  <c r="A102" i="43" s="1"/>
  <c r="A103"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2" i="43" s="1"/>
  <c r="A123" i="43" s="1"/>
  <c r="A124" i="43" s="1"/>
  <c r="A125" i="43" s="1"/>
  <c r="A126" i="43" s="1"/>
  <c r="A127" i="43" s="1"/>
  <c r="A128" i="43" s="1"/>
  <c r="A129" i="43" s="1"/>
  <c r="A130" i="43" s="1"/>
  <c r="A131" i="43" s="1"/>
  <c r="A132" i="43" s="1"/>
  <c r="A133" i="43" s="1"/>
  <c r="A134" i="43" s="1"/>
  <c r="A135" i="43" s="1"/>
  <c r="A136" i="43" s="1"/>
  <c r="A137" i="43" s="1"/>
  <c r="A138" i="43" s="1"/>
  <c r="A139" i="43" s="1"/>
  <c r="A140" i="43" s="1"/>
  <c r="A141" i="43" s="1"/>
  <c r="A142" i="43" s="1"/>
  <c r="A143" i="43" s="1"/>
  <c r="A144" i="43" s="1"/>
  <c r="A145" i="43" s="1"/>
  <c r="A146" i="43" s="1"/>
  <c r="A147" i="43" s="1"/>
  <c r="A148" i="43" s="1"/>
  <c r="A149" i="43" s="1"/>
  <c r="A150" i="43" s="1"/>
  <c r="A151" i="43" s="1"/>
  <c r="A152" i="43" s="1"/>
  <c r="A153" i="43" s="1"/>
  <c r="A154" i="43" s="1"/>
  <c r="A155" i="43" s="1"/>
  <c r="A156" i="43" s="1"/>
  <c r="A157" i="43" s="1"/>
  <c r="A158" i="43" s="1"/>
  <c r="A159" i="43" s="1"/>
  <c r="A160" i="43" s="1"/>
  <c r="A161" i="43" s="1"/>
  <c r="A162" i="43" s="1"/>
  <c r="A163" i="43" s="1"/>
  <c r="A164" i="43" s="1"/>
  <c r="A165" i="43" s="1"/>
  <c r="A166" i="43" s="1"/>
  <c r="A167" i="43" s="1"/>
  <c r="A168" i="43" s="1"/>
  <c r="A169" i="43" s="1"/>
  <c r="A170" i="43" s="1"/>
  <c r="A171" i="43" s="1"/>
  <c r="A172" i="43" s="1"/>
  <c r="A173" i="43" s="1"/>
  <c r="A174" i="43" s="1"/>
  <c r="A175" i="43" s="1"/>
  <c r="A176" i="43" s="1"/>
  <c r="A177" i="43" s="1"/>
  <c r="A178" i="43" s="1"/>
  <c r="A179" i="43" s="1"/>
  <c r="A180" i="43" s="1"/>
  <c r="A181" i="43" s="1"/>
  <c r="A182" i="43" s="1"/>
  <c r="A183" i="43" s="1"/>
  <c r="A184" i="43" s="1"/>
  <c r="A185" i="43" s="1"/>
  <c r="A186" i="43" s="1"/>
  <c r="A187" i="43" s="1"/>
  <c r="Q96" i="43"/>
  <c r="O96" i="43"/>
  <c r="C96" i="43"/>
  <c r="Q95" i="43"/>
  <c r="N95" i="43"/>
  <c r="C94" i="43"/>
  <c r="C85" i="43"/>
  <c r="C82" i="43"/>
  <c r="L79" i="43"/>
  <c r="C79" i="43"/>
  <c r="C78" i="43"/>
  <c r="C77" i="43"/>
  <c r="C76" i="43"/>
  <c r="L75" i="43"/>
  <c r="C75" i="43"/>
  <c r="C74" i="43"/>
  <c r="C73" i="43"/>
  <c r="C72" i="43"/>
  <c r="L71" i="43"/>
  <c r="C71" i="43"/>
  <c r="C70" i="43"/>
  <c r="C69" i="43"/>
  <c r="C68" i="43"/>
  <c r="L66" i="43" s="1"/>
  <c r="O66" i="43"/>
  <c r="C66" i="43"/>
  <c r="C62" i="43"/>
  <c r="C59" i="43"/>
  <c r="C58" i="43"/>
  <c r="C57" i="43"/>
  <c r="C56" i="43"/>
  <c r="C55" i="43"/>
  <c r="C54" i="43"/>
  <c r="C53" i="43"/>
  <c r="C52" i="43"/>
  <c r="C51" i="43"/>
  <c r="C50" i="43"/>
  <c r="C49" i="43"/>
  <c r="L47" i="43"/>
  <c r="C47" i="43"/>
  <c r="C41" i="43"/>
  <c r="C39" i="43"/>
  <c r="C37" i="43"/>
  <c r="C35" i="43"/>
  <c r="C33" i="43"/>
  <c r="J31" i="43"/>
  <c r="H31" i="43"/>
  <c r="G31" i="43"/>
  <c r="C31" i="43"/>
  <c r="L28" i="43"/>
  <c r="C28" i="43"/>
  <c r="C10" i="43"/>
  <c r="C8" i="43"/>
  <c r="C7" i="43"/>
  <c r="A7" i="43"/>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G2" i="43"/>
  <c r="H2" i="43" s="1"/>
  <c r="C2" i="43"/>
  <c r="I84" i="43" s="1"/>
  <c r="G1" i="43"/>
  <c r="I1" i="43" s="1"/>
  <c r="C1" i="43"/>
  <c r="H174" i="43" s="1"/>
  <c r="H49" i="43" l="1"/>
  <c r="H1" i="43"/>
  <c r="H68" i="43"/>
  <c r="D1" i="43"/>
  <c r="I2" i="43"/>
  <c r="E31" i="43"/>
  <c r="H103" i="43"/>
  <c r="H154" i="43"/>
  <c r="D3" i="43"/>
  <c r="I68" i="43"/>
  <c r="H130" i="43"/>
  <c r="H84" i="43"/>
  <c r="D2" i="43"/>
  <c r="I49" i="43"/>
  <c r="C182" i="40" l="1"/>
  <c r="C162" i="40" l="1"/>
  <c r="L183" i="40" l="1"/>
  <c r="N186" i="40"/>
  <c r="O152" i="40" l="1"/>
  <c r="L77" i="40" l="1"/>
  <c r="L79" i="40"/>
  <c r="L74" i="40"/>
  <c r="B15" i="34"/>
  <c r="B14" i="34"/>
  <c r="B8" i="34"/>
  <c r="B7" i="34"/>
  <c r="B6" i="34"/>
  <c r="B73" i="34"/>
  <c r="B72" i="34"/>
  <c r="B61" i="34"/>
  <c r="B55" i="34"/>
  <c r="B53" i="34"/>
  <c r="B50" i="34"/>
  <c r="B47" i="34"/>
  <c r="B45" i="34"/>
  <c r="B44" i="34"/>
  <c r="B40" i="34"/>
  <c r="B38" i="34"/>
  <c r="B37" i="34"/>
  <c r="B34" i="34"/>
  <c r="B31" i="34"/>
  <c r="B29" i="34"/>
  <c r="B28" i="34"/>
  <c r="B24" i="34"/>
  <c r="B22" i="34"/>
  <c r="B21" i="34"/>
  <c r="B18" i="34"/>
  <c r="P87" i="40"/>
  <c r="A7" i="40"/>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C8" i="40"/>
  <c r="C10" i="40"/>
  <c r="C30" i="40"/>
  <c r="C101" i="40" s="1"/>
  <c r="L30" i="40"/>
  <c r="C32" i="40"/>
  <c r="H32" i="40"/>
  <c r="I32" i="40"/>
  <c r="C33" i="40"/>
  <c r="C34" i="40"/>
  <c r="C35" i="40"/>
  <c r="C36" i="40"/>
  <c r="C46" i="40"/>
  <c r="C72" i="40"/>
  <c r="O72" i="40"/>
  <c r="L72" i="40"/>
  <c r="L85" i="40"/>
  <c r="N95" i="40"/>
  <c r="Q95" i="40"/>
  <c r="C96" i="40"/>
  <c r="O96" i="40"/>
  <c r="Q96" i="40"/>
  <c r="A98" i="40"/>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120" i="40" s="1"/>
  <c r="A121" i="40" s="1"/>
  <c r="A122" i="40" s="1"/>
  <c r="A123" i="40" s="1"/>
  <c r="A124" i="40" s="1"/>
  <c r="A125" i="40" s="1"/>
  <c r="A126" i="40" s="1"/>
  <c r="A127" i="40" s="1"/>
  <c r="A128" i="40" s="1"/>
  <c r="A129" i="40" s="1"/>
  <c r="A130" i="40" s="1"/>
  <c r="A131" i="40" s="1"/>
  <c r="A132" i="40" s="1"/>
  <c r="A133" i="40" s="1"/>
  <c r="A134" i="40" s="1"/>
  <c r="A135" i="40" s="1"/>
  <c r="A136" i="40" s="1"/>
  <c r="A137" i="40" s="1"/>
  <c r="A138" i="40" s="1"/>
  <c r="A139" i="40" s="1"/>
  <c r="A140" i="40" s="1"/>
  <c r="A141" i="40" s="1"/>
  <c r="A142" i="40" s="1"/>
  <c r="A143" i="40" s="1"/>
  <c r="A144" i="40" s="1"/>
  <c r="A145" i="40" s="1"/>
  <c r="A146" i="40" s="1"/>
  <c r="A147" i="40" s="1"/>
  <c r="A148" i="40" s="1"/>
  <c r="A149" i="40" s="1"/>
  <c r="A150" i="40" s="1"/>
  <c r="A151" i="40" s="1"/>
  <c r="A152" i="40" s="1"/>
  <c r="A153" i="40" s="1"/>
  <c r="A154" i="40" s="1"/>
  <c r="A155" i="40" s="1"/>
  <c r="A156" i="40" s="1"/>
  <c r="A157" i="40" s="1"/>
  <c r="A158" i="40" s="1"/>
  <c r="A159" i="40" s="1"/>
  <c r="A160" i="40" s="1"/>
  <c r="A161" i="40" s="1"/>
  <c r="A162" i="40" s="1"/>
  <c r="A163" i="40" s="1"/>
  <c r="A164" i="40" s="1"/>
  <c r="A165" i="40" s="1"/>
  <c r="A166" i="40" s="1"/>
  <c r="A167" i="40" s="1"/>
  <c r="A168" i="40" s="1"/>
  <c r="A169" i="40" s="1"/>
  <c r="A170" i="40" s="1"/>
  <c r="A171" i="40" s="1"/>
  <c r="A172" i="40" s="1"/>
  <c r="A173" i="40" s="1"/>
  <c r="A174" i="40" s="1"/>
  <c r="A175" i="40" s="1"/>
  <c r="A176" i="40" s="1"/>
  <c r="A177" i="40" s="1"/>
  <c r="A178" i="40" s="1"/>
  <c r="A179" i="40" s="1"/>
  <c r="A180" i="40" s="1"/>
  <c r="A181" i="40" s="1"/>
  <c r="A182" i="40" s="1"/>
  <c r="A183" i="40" s="1"/>
  <c r="A184" i="40" s="1"/>
  <c r="A185" i="40" s="1"/>
  <c r="A186" i="40" s="1"/>
  <c r="A187" i="40" s="1"/>
  <c r="C98" i="40"/>
  <c r="C99" i="40"/>
  <c r="L101" i="40"/>
  <c r="J103" i="40"/>
  <c r="C104" i="40"/>
  <c r="C105" i="40"/>
  <c r="C106" i="40"/>
  <c r="C107" i="40"/>
  <c r="C108" i="40"/>
  <c r="C110" i="40"/>
  <c r="C113" i="40"/>
  <c r="C114" i="40"/>
  <c r="C117" i="40"/>
  <c r="C118" i="40"/>
  <c r="C119" i="40"/>
  <c r="C120" i="40"/>
  <c r="C121" i="40"/>
  <c r="C122" i="40"/>
  <c r="C123" i="40"/>
  <c r="C125" i="40"/>
  <c r="C128" i="40"/>
  <c r="L128" i="40"/>
  <c r="J130" i="40"/>
  <c r="L130" i="40"/>
  <c r="O130" i="40"/>
  <c r="C131" i="40"/>
  <c r="C132" i="40"/>
  <c r="C133" i="40"/>
  <c r="C134" i="40"/>
  <c r="C135" i="40"/>
  <c r="C137" i="40"/>
  <c r="C140" i="40"/>
  <c r="C141" i="40"/>
  <c r="C142" i="40"/>
  <c r="C143" i="40"/>
  <c r="C144" i="40"/>
  <c r="C146" i="40"/>
  <c r="C147" i="40"/>
  <c r="L148" i="40"/>
  <c r="C150" i="40"/>
  <c r="L150" i="40"/>
  <c r="J152" i="40"/>
  <c r="L152" i="40"/>
  <c r="C155" i="40"/>
  <c r="C156" i="40"/>
  <c r="C157" i="40"/>
  <c r="C159" i="40"/>
  <c r="C163" i="40"/>
  <c r="C166" i="40"/>
  <c r="C167" i="40"/>
  <c r="C169" i="40"/>
  <c r="C171" i="40"/>
  <c r="L172" i="40"/>
  <c r="C174" i="40"/>
  <c r="J176" i="40"/>
  <c r="C177" i="40"/>
  <c r="C181" i="40"/>
  <c r="C183" i="40"/>
  <c r="L182" i="40"/>
  <c r="Q186" i="40"/>
  <c r="C187" i="40"/>
  <c r="O187" i="40"/>
  <c r="Q187" i="40"/>
  <c r="J123" i="40" l="1"/>
  <c r="J119" i="40"/>
  <c r="J119" i="53" s="1"/>
  <c r="F130" i="40"/>
  <c r="F176" i="40"/>
  <c r="F152" i="40"/>
  <c r="F103" i="40"/>
  <c r="F32" i="40"/>
  <c r="O87" i="40"/>
  <c r="F74" i="40"/>
  <c r="G74" i="40"/>
  <c r="J123" i="53" l="1"/>
  <c r="J123" i="43" l="1"/>
  <c r="J41" i="43" l="1"/>
  <c r="Q182" i="40" l="1"/>
  <c r="D54" i="34" l="1"/>
  <c r="D56" i="34"/>
  <c r="H61" i="43" l="1"/>
  <c r="G37" i="40" l="1"/>
  <c r="V54" i="40" l="1"/>
  <c r="D58" i="34"/>
  <c r="V40" i="40"/>
  <c r="H102" i="53" l="1"/>
  <c r="H176" i="53" s="1"/>
  <c r="H152" i="53" l="1"/>
  <c r="H130" i="53"/>
  <c r="G183" i="40" l="1"/>
  <c r="I183" i="40" s="1"/>
  <c r="Q183" i="53" l="1"/>
  <c r="H59" i="43"/>
  <c r="H62" i="43" l="1"/>
  <c r="N54" i="43" s="1"/>
  <c r="H53" i="43" l="1"/>
  <c r="H57" i="43" l="1"/>
  <c r="C74" i="34" l="1"/>
  <c r="H88" i="40"/>
  <c r="V19" i="40" l="1"/>
  <c r="U19" i="40"/>
  <c r="Q148" i="40" l="1"/>
  <c r="G115" i="40"/>
  <c r="G114" i="40"/>
  <c r="G115" i="53" l="1"/>
  <c r="G116" i="40"/>
  <c r="G117" i="40" s="1"/>
  <c r="V17" i="40"/>
  <c r="U17" i="40"/>
  <c r="G166" i="40"/>
  <c r="U48" i="40"/>
  <c r="V48" i="40"/>
  <c r="G114" i="53"/>
  <c r="G117" i="53" l="1"/>
  <c r="G167" i="53"/>
  <c r="G116" i="53"/>
  <c r="H169" i="40" l="1"/>
  <c r="H121" i="40"/>
  <c r="H121" i="53" s="1"/>
  <c r="I179" i="40"/>
  <c r="I136" i="40" l="1"/>
  <c r="H120" i="40"/>
  <c r="H120" i="53" s="1"/>
  <c r="H134" i="40"/>
  <c r="H135" i="53" s="1"/>
  <c r="I139" i="40"/>
  <c r="H140" i="40"/>
  <c r="H141" i="53" s="1"/>
  <c r="H105" i="40"/>
  <c r="H105" i="53" s="1"/>
  <c r="H162" i="40"/>
  <c r="H163" i="53" s="1"/>
  <c r="H111" i="40"/>
  <c r="H137" i="40"/>
  <c r="H138" i="53" s="1"/>
  <c r="H112" i="40"/>
  <c r="H112" i="53" s="1"/>
  <c r="I157" i="40"/>
  <c r="G108" i="40"/>
  <c r="G159" i="40"/>
  <c r="H106" i="40"/>
  <c r="H106" i="53" s="1"/>
  <c r="G156" i="40"/>
  <c r="I155" i="40"/>
  <c r="G106" i="40"/>
  <c r="H181" i="40"/>
  <c r="H182" i="40" s="1"/>
  <c r="I133" i="40"/>
  <c r="I178" i="40"/>
  <c r="G121" i="40"/>
  <c r="G124" i="40"/>
  <c r="I160" i="40"/>
  <c r="G111" i="40"/>
  <c r="G162" i="40"/>
  <c r="G134" i="40"/>
  <c r="I131" i="40"/>
  <c r="G181" i="40"/>
  <c r="I177" i="40"/>
  <c r="G109" i="40"/>
  <c r="I158" i="40"/>
  <c r="H115" i="40"/>
  <c r="I164" i="40"/>
  <c r="H170" i="53"/>
  <c r="U148" i="40"/>
  <c r="G146" i="40"/>
  <c r="I153" i="40"/>
  <c r="G104" i="40"/>
  <c r="G144" i="40"/>
  <c r="I142" i="40"/>
  <c r="G119" i="40"/>
  <c r="I161" i="40"/>
  <c r="G112" i="40"/>
  <c r="G140" i="40"/>
  <c r="I138" i="40"/>
  <c r="I154" i="40"/>
  <c r="G105" i="40"/>
  <c r="I145" i="40"/>
  <c r="H146" i="40"/>
  <c r="H147" i="53" s="1"/>
  <c r="H109" i="40"/>
  <c r="H109" i="53" s="1"/>
  <c r="H119" i="40"/>
  <c r="H144" i="40"/>
  <c r="H114" i="40"/>
  <c r="I163" i="40"/>
  <c r="H104" i="40"/>
  <c r="H156" i="40"/>
  <c r="G137" i="40"/>
  <c r="I135" i="40"/>
  <c r="G120" i="40"/>
  <c r="I143" i="40"/>
  <c r="I132" i="40"/>
  <c r="I168" i="40"/>
  <c r="G169" i="40"/>
  <c r="H108" i="40"/>
  <c r="H159" i="40"/>
  <c r="H160" i="53" s="1"/>
  <c r="H123" i="53" l="1"/>
  <c r="H116" i="40"/>
  <c r="I165" i="40"/>
  <c r="H119" i="53"/>
  <c r="H122" i="40"/>
  <c r="I140" i="40"/>
  <c r="G141" i="53"/>
  <c r="G147" i="53"/>
  <c r="I146" i="40"/>
  <c r="G109" i="53"/>
  <c r="I109" i="40"/>
  <c r="G124" i="53"/>
  <c r="I156" i="40"/>
  <c r="H157" i="53"/>
  <c r="G138" i="53"/>
  <c r="I137" i="40"/>
  <c r="I112" i="40"/>
  <c r="G112" i="53"/>
  <c r="G121" i="53"/>
  <c r="I121" i="40"/>
  <c r="G160" i="53"/>
  <c r="I159" i="40"/>
  <c r="G182" i="40"/>
  <c r="I181" i="40"/>
  <c r="G181" i="53"/>
  <c r="I170" i="40"/>
  <c r="H124" i="40"/>
  <c r="H124" i="53" s="1"/>
  <c r="G170" i="53"/>
  <c r="G171" i="40"/>
  <c r="I169" i="40"/>
  <c r="G122" i="40"/>
  <c r="I119" i="40"/>
  <c r="G119" i="53"/>
  <c r="H171" i="40"/>
  <c r="H172" i="53" s="1"/>
  <c r="G135" i="53"/>
  <c r="I134" i="40"/>
  <c r="G141" i="40"/>
  <c r="Q149" i="53" s="1"/>
  <c r="H181" i="53"/>
  <c r="H182" i="53"/>
  <c r="H108" i="53"/>
  <c r="H110" i="40"/>
  <c r="H110" i="53" s="1"/>
  <c r="I108" i="40"/>
  <c r="G108" i="53"/>
  <c r="G110" i="40"/>
  <c r="H104" i="53"/>
  <c r="H107" i="40"/>
  <c r="H166" i="40"/>
  <c r="H167" i="40" s="1"/>
  <c r="G105" i="53"/>
  <c r="I105" i="40"/>
  <c r="I144" i="40"/>
  <c r="G147" i="40"/>
  <c r="G145" i="53"/>
  <c r="G163" i="53"/>
  <c r="I162" i="40"/>
  <c r="G106" i="53"/>
  <c r="I106" i="40"/>
  <c r="H114" i="53"/>
  <c r="I114" i="40"/>
  <c r="G104" i="53"/>
  <c r="I104" i="40"/>
  <c r="G107" i="40"/>
  <c r="H115" i="53"/>
  <c r="I115" i="40"/>
  <c r="I111" i="40"/>
  <c r="G113" i="40"/>
  <c r="G111" i="53"/>
  <c r="H113" i="40"/>
  <c r="H113" i="53" s="1"/>
  <c r="H111" i="53"/>
  <c r="G120" i="53"/>
  <c r="I120" i="40"/>
  <c r="H145" i="53"/>
  <c r="H147" i="40"/>
  <c r="H148" i="53" s="1"/>
  <c r="H141" i="40"/>
  <c r="G167" i="40"/>
  <c r="G157" i="53"/>
  <c r="I124" i="40" l="1"/>
  <c r="I124" i="53" s="1"/>
  <c r="H172" i="40"/>
  <c r="H173" i="53" s="1"/>
  <c r="H168" i="53"/>
  <c r="I104" i="53"/>
  <c r="I106" i="53"/>
  <c r="I135" i="53"/>
  <c r="I134" i="43"/>
  <c r="I119" i="53"/>
  <c r="I108" i="53"/>
  <c r="G125" i="40"/>
  <c r="I122" i="40"/>
  <c r="G122" i="53"/>
  <c r="I112" i="53"/>
  <c r="G168" i="53"/>
  <c r="G172" i="40"/>
  <c r="Q173" i="53" s="1"/>
  <c r="I167" i="40"/>
  <c r="I167" i="43"/>
  <c r="I170" i="53"/>
  <c r="I177" i="43"/>
  <c r="I181" i="53"/>
  <c r="I157" i="43"/>
  <c r="I157" i="53"/>
  <c r="I141" i="40"/>
  <c r="H142" i="53"/>
  <c r="H148" i="40"/>
  <c r="H149" i="53" s="1"/>
  <c r="G172" i="53"/>
  <c r="I171" i="40"/>
  <c r="I182" i="40"/>
  <c r="G182" i="53"/>
  <c r="S182" i="40"/>
  <c r="Q182" i="53"/>
  <c r="I120" i="53"/>
  <c r="I114" i="53"/>
  <c r="I160" i="53"/>
  <c r="I160" i="43"/>
  <c r="H122" i="53"/>
  <c r="H125" i="40"/>
  <c r="H125" i="53" s="1"/>
  <c r="H117" i="40"/>
  <c r="H118" i="40" s="1"/>
  <c r="H116" i="53"/>
  <c r="I116" i="40"/>
  <c r="H167" i="53"/>
  <c r="I166" i="40"/>
  <c r="I141" i="53"/>
  <c r="I140" i="43"/>
  <c r="I111" i="53"/>
  <c r="I115" i="53"/>
  <c r="G148" i="53"/>
  <c r="I147" i="40"/>
  <c r="H107" i="53"/>
  <c r="I109" i="53"/>
  <c r="I163" i="53"/>
  <c r="I162" i="43"/>
  <c r="I121" i="53"/>
  <c r="G123" i="53"/>
  <c r="I123" i="40"/>
  <c r="I138" i="43"/>
  <c r="I138" i="53"/>
  <c r="G113" i="53"/>
  <c r="I113" i="40"/>
  <c r="I145" i="53"/>
  <c r="I145" i="43"/>
  <c r="I107" i="40"/>
  <c r="G107" i="53"/>
  <c r="G118" i="40"/>
  <c r="I105" i="53"/>
  <c r="G110" i="53"/>
  <c r="I110" i="40"/>
  <c r="G142" i="53"/>
  <c r="G148" i="40"/>
  <c r="I147" i="43"/>
  <c r="I147" i="53"/>
  <c r="H118" i="53" l="1"/>
  <c r="H126" i="40"/>
  <c r="S148" i="40"/>
  <c r="G149" i="53"/>
  <c r="I148" i="40"/>
  <c r="I118" i="40"/>
  <c r="G126" i="40"/>
  <c r="G118" i="53"/>
  <c r="I107" i="43"/>
  <c r="I107" i="53"/>
  <c r="I148" i="53"/>
  <c r="I148" i="43"/>
  <c r="I122" i="53"/>
  <c r="I121" i="43"/>
  <c r="I110" i="53"/>
  <c r="I111" i="43"/>
  <c r="I164" i="43"/>
  <c r="I167" i="53"/>
  <c r="G125" i="53"/>
  <c r="I125" i="40"/>
  <c r="I141" i="43"/>
  <c r="I142" i="53"/>
  <c r="I168" i="53"/>
  <c r="I165" i="43"/>
  <c r="I116" i="53"/>
  <c r="I182" i="53"/>
  <c r="I178" i="43"/>
  <c r="G173" i="53"/>
  <c r="I172" i="40"/>
  <c r="S172" i="40"/>
  <c r="I168" i="43"/>
  <c r="I172" i="53"/>
  <c r="I123" i="43"/>
  <c r="I123" i="53"/>
  <c r="I113" i="43"/>
  <c r="I113" i="53"/>
  <c r="H117" i="53"/>
  <c r="I117" i="40"/>
  <c r="I173" i="53" l="1"/>
  <c r="I169" i="43"/>
  <c r="I149" i="43"/>
  <c r="I149" i="53"/>
  <c r="I124" i="43"/>
  <c r="I125" i="53"/>
  <c r="G126" i="53"/>
  <c r="I126" i="40"/>
  <c r="I115" i="43"/>
  <c r="I117" i="53"/>
  <c r="I118" i="53"/>
  <c r="I116" i="43"/>
  <c r="H126" i="53"/>
  <c r="U21" i="40"/>
  <c r="V21" i="40" s="1"/>
  <c r="Z21" i="40" s="1"/>
  <c r="I126" i="53" l="1"/>
  <c r="I125" i="43"/>
  <c r="U18" i="40" l="1"/>
  <c r="V18" i="40"/>
  <c r="V44" i="40"/>
  <c r="U46" i="40"/>
  <c r="V46" i="40"/>
  <c r="U45" i="40"/>
  <c r="V45" i="40"/>
  <c r="U47" i="40"/>
  <c r="Y47" i="40" s="1"/>
  <c r="V47" i="40"/>
  <c r="V20" i="40"/>
  <c r="U20" i="40"/>
  <c r="J34" i="53" l="1"/>
  <c r="J41" i="53"/>
  <c r="J42" i="53"/>
  <c r="J35" i="53"/>
  <c r="Y21" i="40"/>
  <c r="H41" i="43"/>
  <c r="J38" i="53"/>
  <c r="J33" i="53"/>
  <c r="V51" i="40"/>
  <c r="U16" i="40"/>
  <c r="X16" i="40" s="1"/>
  <c r="G41" i="43"/>
  <c r="J39" i="53"/>
  <c r="J40" i="53"/>
  <c r="J36" i="53"/>
  <c r="X45" i="40" l="1"/>
  <c r="X18" i="40"/>
  <c r="X44" i="40"/>
  <c r="X46" i="40"/>
  <c r="J37" i="53"/>
  <c r="Y11" i="40"/>
  <c r="I41" i="43"/>
  <c r="X20" i="40"/>
  <c r="V16" i="40"/>
  <c r="Z16" i="40" s="1"/>
  <c r="X19" i="40"/>
  <c r="X48" i="40"/>
  <c r="X17" i="40"/>
  <c r="X47" i="40"/>
  <c r="V42" i="40" l="1"/>
  <c r="F83" i="40" l="1"/>
  <c r="H83" i="40" s="1"/>
  <c r="I81" i="40" l="1"/>
  <c r="I80" i="40"/>
  <c r="I78" i="40"/>
  <c r="I77" i="40"/>
  <c r="I76" i="40"/>
  <c r="I79" i="40"/>
  <c r="I75" i="40"/>
  <c r="I82" i="40"/>
  <c r="I87" i="40"/>
  <c r="I86" i="40"/>
  <c r="I85" i="40"/>
  <c r="I84" i="40"/>
  <c r="G63" i="40" l="1"/>
  <c r="G62" i="40"/>
  <c r="G61" i="40"/>
  <c r="G60" i="40"/>
  <c r="G59" i="40"/>
  <c r="G58" i="40"/>
  <c r="G56" i="40"/>
  <c r="G55" i="40"/>
  <c r="G54" i="40"/>
  <c r="G50" i="40"/>
  <c r="G49" i="40"/>
  <c r="G64" i="40"/>
  <c r="W28" i="40" s="1"/>
  <c r="Z28" i="40" s="1"/>
  <c r="F81" i="40"/>
  <c r="H81" i="40" s="1"/>
  <c r="F80" i="40"/>
  <c r="H80" i="40" s="1"/>
  <c r="F76" i="40"/>
  <c r="H76" i="40" s="1"/>
  <c r="F75" i="40"/>
  <c r="F82" i="40"/>
  <c r="H82" i="40" s="1"/>
  <c r="F84" i="40"/>
  <c r="J183" i="40"/>
  <c r="J182" i="40"/>
  <c r="J164" i="40"/>
  <c r="J115" i="40" s="1"/>
  <c r="J115" i="53" s="1"/>
  <c r="J163" i="40"/>
  <c r="J161" i="40"/>
  <c r="J160" i="40"/>
  <c r="J158" i="40"/>
  <c r="J157" i="40"/>
  <c r="J153" i="40"/>
  <c r="J139" i="40"/>
  <c r="J138" i="40"/>
  <c r="J136" i="40"/>
  <c r="J135" i="40"/>
  <c r="J131" i="40"/>
  <c r="F163" i="40"/>
  <c r="F114" i="40" s="1"/>
  <c r="U105" i="40"/>
  <c r="U117" i="40"/>
  <c r="F42" i="40"/>
  <c r="U59" i="40" s="1"/>
  <c r="F41" i="40"/>
  <c r="U58" i="40" s="1"/>
  <c r="F40" i="40"/>
  <c r="U57" i="40" s="1"/>
  <c r="F39" i="40"/>
  <c r="U56" i="40" s="1"/>
  <c r="F38" i="40"/>
  <c r="U55" i="40" s="1"/>
  <c r="U125" i="40"/>
  <c r="Y63" i="40" l="1"/>
  <c r="U63" i="40"/>
  <c r="U62" i="40"/>
  <c r="C56" i="34"/>
  <c r="P124" i="54" s="1"/>
  <c r="F40" i="53"/>
  <c r="G40" i="53"/>
  <c r="Y125" i="40"/>
  <c r="J137" i="40"/>
  <c r="J108" i="40"/>
  <c r="J159" i="40"/>
  <c r="F39" i="53"/>
  <c r="G39" i="53"/>
  <c r="C54" i="34"/>
  <c r="P123" i="54" s="1"/>
  <c r="J140" i="40"/>
  <c r="G61" i="53"/>
  <c r="J61" i="40"/>
  <c r="I61" i="40"/>
  <c r="I39" i="34"/>
  <c r="I60" i="40"/>
  <c r="J60" i="40"/>
  <c r="J104" i="40"/>
  <c r="J111" i="40"/>
  <c r="J162" i="40"/>
  <c r="O88" i="40"/>
  <c r="C9" i="34"/>
  <c r="C16" i="34" s="1"/>
  <c r="C55" i="34"/>
  <c r="P125" i="54" s="1"/>
  <c r="G42" i="53"/>
  <c r="F42" i="53"/>
  <c r="J112" i="40"/>
  <c r="J112" i="53" s="1"/>
  <c r="G64" i="53"/>
  <c r="I64" i="40"/>
  <c r="J64" i="40"/>
  <c r="Y28" i="40" s="1"/>
  <c r="C41" i="34"/>
  <c r="I41" i="34"/>
  <c r="J63" i="40"/>
  <c r="I63" i="40"/>
  <c r="C57" i="34"/>
  <c r="P126" i="54" s="1"/>
  <c r="F41" i="53"/>
  <c r="G41" i="53"/>
  <c r="Y117" i="40"/>
  <c r="J114" i="40"/>
  <c r="I54" i="40"/>
  <c r="J54" i="40"/>
  <c r="F114" i="53"/>
  <c r="Y105" i="40"/>
  <c r="I58" i="40"/>
  <c r="J58" i="40"/>
  <c r="X29" i="40"/>
  <c r="Z29" i="40" s="1"/>
  <c r="H84" i="40"/>
  <c r="Y29" i="40" s="1"/>
  <c r="C75" i="34"/>
  <c r="J49" i="40"/>
  <c r="I49" i="40"/>
  <c r="I37" i="34"/>
  <c r="I55" i="40"/>
  <c r="J55" i="40"/>
  <c r="J62" i="40"/>
  <c r="I62" i="40"/>
  <c r="J50" i="40"/>
  <c r="I50" i="40"/>
  <c r="I56" i="40"/>
  <c r="J56" i="40"/>
  <c r="I38" i="34"/>
  <c r="J59" i="40"/>
  <c r="I59" i="40"/>
  <c r="I59" i="43" s="1"/>
  <c r="G38" i="53"/>
  <c r="C53" i="34"/>
  <c r="P122" i="54" s="1"/>
  <c r="F38" i="53"/>
  <c r="J109" i="40"/>
  <c r="J109" i="53" s="1"/>
  <c r="F158" i="40"/>
  <c r="F164" i="40"/>
  <c r="F115" i="40" s="1"/>
  <c r="F115" i="53" s="1"/>
  <c r="F153" i="40"/>
  <c r="U108" i="40"/>
  <c r="F162" i="40"/>
  <c r="F137" i="40"/>
  <c r="U107" i="40"/>
  <c r="F86" i="40"/>
  <c r="F135" i="40"/>
  <c r="C7" i="34"/>
  <c r="C14" i="34" s="1"/>
  <c r="U123" i="40"/>
  <c r="U113" i="40"/>
  <c r="U101" i="40"/>
  <c r="U118" i="40"/>
  <c r="F87" i="40"/>
  <c r="F159" i="40"/>
  <c r="F182" i="40"/>
  <c r="F169" i="40"/>
  <c r="F160" i="40"/>
  <c r="F157" i="40"/>
  <c r="U109" i="40"/>
  <c r="F145" i="40"/>
  <c r="U114" i="40"/>
  <c r="F131" i="40"/>
  <c r="F146" i="40"/>
  <c r="F140" i="40"/>
  <c r="F168" i="40"/>
  <c r="F166" i="40"/>
  <c r="C6" i="34"/>
  <c r="C13" i="34" s="1"/>
  <c r="U111" i="40"/>
  <c r="F142" i="40"/>
  <c r="F119" i="40" s="1"/>
  <c r="U122" i="40"/>
  <c r="F139" i="40"/>
  <c r="F112" i="40" s="1"/>
  <c r="F112" i="53" s="1"/>
  <c r="F147" i="40"/>
  <c r="F171" i="40"/>
  <c r="F138" i="40"/>
  <c r="U112" i="40"/>
  <c r="U124" i="40"/>
  <c r="U116" i="40"/>
  <c r="U110" i="40"/>
  <c r="Y110" i="40" s="1"/>
  <c r="U106" i="40" l="1"/>
  <c r="Y106" i="40" s="1"/>
  <c r="F123" i="40"/>
  <c r="F108" i="40"/>
  <c r="V105" i="40" s="1"/>
  <c r="F148" i="40"/>
  <c r="F141" i="40"/>
  <c r="C38" i="34"/>
  <c r="C45" i="34" s="1"/>
  <c r="G66" i="40"/>
  <c r="F160" i="53"/>
  <c r="H160" i="43"/>
  <c r="H162" i="43"/>
  <c r="F163" i="53"/>
  <c r="V113" i="40"/>
  <c r="Y113" i="40"/>
  <c r="E55" i="34"/>
  <c r="P125" i="40"/>
  <c r="P126" i="53" s="1"/>
  <c r="J141" i="53"/>
  <c r="J140" i="43"/>
  <c r="Y123" i="40"/>
  <c r="P123" i="40"/>
  <c r="E54" i="34"/>
  <c r="Y112" i="40"/>
  <c r="P126" i="40"/>
  <c r="F57" i="34"/>
  <c r="E57" i="34"/>
  <c r="Q88" i="40"/>
  <c r="Y30" i="40" s="1"/>
  <c r="X30" i="40"/>
  <c r="Z30" i="40" s="1"/>
  <c r="H86" i="40"/>
  <c r="C72" i="34"/>
  <c r="J162" i="43"/>
  <c r="J163" i="53"/>
  <c r="J160" i="53"/>
  <c r="J160" i="43"/>
  <c r="F119" i="53"/>
  <c r="I48" i="34"/>
  <c r="J41" i="34"/>
  <c r="J113" i="40"/>
  <c r="J111" i="53"/>
  <c r="J108" i="53"/>
  <c r="J110" i="40"/>
  <c r="C71" i="34"/>
  <c r="H87" i="40"/>
  <c r="Y109" i="40"/>
  <c r="P122" i="40"/>
  <c r="E53" i="34"/>
  <c r="J138" i="43"/>
  <c r="J138" i="53"/>
  <c r="Y101" i="40"/>
  <c r="C48" i="34"/>
  <c r="D41" i="34"/>
  <c r="J104" i="53"/>
  <c r="H168" i="43"/>
  <c r="H164" i="43"/>
  <c r="I44" i="34"/>
  <c r="J44" i="34"/>
  <c r="C40" i="34"/>
  <c r="C47" i="34" s="1"/>
  <c r="G68" i="40"/>
  <c r="F172" i="40"/>
  <c r="F167" i="40"/>
  <c r="Y116" i="40"/>
  <c r="F104" i="40"/>
  <c r="V101" i="40" s="1"/>
  <c r="J114" i="53"/>
  <c r="I62" i="43"/>
  <c r="H147" i="43"/>
  <c r="F147" i="53"/>
  <c r="V111" i="40"/>
  <c r="Y111" i="40"/>
  <c r="I46" i="34"/>
  <c r="J46" i="34"/>
  <c r="Y124" i="40"/>
  <c r="V118" i="40"/>
  <c r="Y118" i="40"/>
  <c r="C39" i="34"/>
  <c r="C46" i="34" s="1"/>
  <c r="G67" i="40"/>
  <c r="Y122" i="40"/>
  <c r="F111" i="40"/>
  <c r="V114" i="40"/>
  <c r="Y114" i="40"/>
  <c r="F136" i="40"/>
  <c r="H138" i="43" s="1"/>
  <c r="H140" i="43"/>
  <c r="F141" i="53"/>
  <c r="F170" i="53"/>
  <c r="H167" i="43"/>
  <c r="J45" i="34"/>
  <c r="I45" i="34"/>
  <c r="P124" i="40"/>
  <c r="E56" i="34"/>
  <c r="F77" i="40"/>
  <c r="H77" i="40" s="1"/>
  <c r="J154" i="40"/>
  <c r="F154" i="40"/>
  <c r="F132" i="40"/>
  <c r="F178" i="40"/>
  <c r="U119" i="40"/>
  <c r="U121" i="40"/>
  <c r="F177" i="40"/>
  <c r="G51" i="40"/>
  <c r="J132" i="40"/>
  <c r="F143" i="40"/>
  <c r="F179" i="40"/>
  <c r="U102" i="40"/>
  <c r="J179" i="40"/>
  <c r="J181" i="40"/>
  <c r="J177" i="40"/>
  <c r="J178" i="40"/>
  <c r="Q124" i="40" l="1"/>
  <c r="Q124" i="54"/>
  <c r="Q125" i="40"/>
  <c r="Q125" i="54"/>
  <c r="Q123" i="40"/>
  <c r="Q123" i="54"/>
  <c r="Q126" i="40"/>
  <c r="Q126" i="54"/>
  <c r="Q122" i="40"/>
  <c r="Q122" i="54"/>
  <c r="J181" i="53"/>
  <c r="J120" i="40"/>
  <c r="J120" i="53" s="1"/>
  <c r="J121" i="40"/>
  <c r="J121" i="53" s="1"/>
  <c r="F108" i="53"/>
  <c r="P123" i="53"/>
  <c r="F109" i="40"/>
  <c r="F109" i="53" s="1"/>
  <c r="F105" i="40"/>
  <c r="F105" i="53" s="1"/>
  <c r="V122" i="40"/>
  <c r="F121" i="40"/>
  <c r="F121" i="53" s="1"/>
  <c r="I51" i="40"/>
  <c r="J51" i="40"/>
  <c r="J110" i="53"/>
  <c r="U36" i="40"/>
  <c r="V36" i="40" s="1"/>
  <c r="J111" i="43"/>
  <c r="F173" i="53"/>
  <c r="V32" i="40"/>
  <c r="H169" i="43"/>
  <c r="U37" i="40"/>
  <c r="V37" i="40" s="1"/>
  <c r="J113" i="43"/>
  <c r="J113" i="53"/>
  <c r="L41" i="34"/>
  <c r="K41" i="34"/>
  <c r="F138" i="53"/>
  <c r="F120" i="40"/>
  <c r="V119" i="40" s="1"/>
  <c r="J68" i="40"/>
  <c r="G68" i="53"/>
  <c r="I68" i="40"/>
  <c r="P124" i="53"/>
  <c r="J66" i="40"/>
  <c r="I66" i="40"/>
  <c r="G66" i="53"/>
  <c r="F182" i="53"/>
  <c r="F181" i="53"/>
  <c r="H177" i="43"/>
  <c r="J177" i="43"/>
  <c r="J178" i="43"/>
  <c r="J182" i="53"/>
  <c r="Y121" i="40"/>
  <c r="E41" i="34"/>
  <c r="N57" i="40" s="1"/>
  <c r="F41" i="34"/>
  <c r="N57" i="54" s="1"/>
  <c r="V110" i="40"/>
  <c r="F113" i="40"/>
  <c r="F111" i="53"/>
  <c r="Y102" i="40"/>
  <c r="Y119" i="40"/>
  <c r="J105" i="40"/>
  <c r="I67" i="40"/>
  <c r="J67" i="40"/>
  <c r="G67" i="53"/>
  <c r="H149" i="43"/>
  <c r="F149" i="53"/>
  <c r="V31" i="40"/>
  <c r="F104" i="53"/>
  <c r="H178" i="43"/>
  <c r="G57" i="40"/>
  <c r="U104" i="40"/>
  <c r="F79" i="40"/>
  <c r="H79" i="40" s="1"/>
  <c r="F144" i="40"/>
  <c r="F85" i="40"/>
  <c r="C8" i="34"/>
  <c r="C15" i="34" s="1"/>
  <c r="F78" i="40"/>
  <c r="H78" i="40" s="1"/>
  <c r="F156" i="40"/>
  <c r="F168" i="53" s="1"/>
  <c r="G53" i="40"/>
  <c r="F134" i="40"/>
  <c r="H141" i="43" s="1"/>
  <c r="F183" i="40"/>
  <c r="V33" i="40" s="1"/>
  <c r="F110" i="40" l="1"/>
  <c r="H111" i="43" s="1"/>
  <c r="V106" i="40"/>
  <c r="V102" i="40"/>
  <c r="J122" i="40"/>
  <c r="J122" i="53" s="1"/>
  <c r="F142" i="53"/>
  <c r="F123" i="53"/>
  <c r="H123" i="43"/>
  <c r="Y104" i="40"/>
  <c r="F113" i="53"/>
  <c r="H113" i="43"/>
  <c r="F35" i="40"/>
  <c r="V112" i="40"/>
  <c r="F120" i="53"/>
  <c r="F122" i="40"/>
  <c r="I57" i="40"/>
  <c r="I57" i="43" s="1"/>
  <c r="J57" i="40"/>
  <c r="G56" i="53"/>
  <c r="H165" i="43"/>
  <c r="J105" i="53"/>
  <c r="H85" i="40"/>
  <c r="C73" i="34"/>
  <c r="C37" i="34"/>
  <c r="C44" i="34" s="1"/>
  <c r="G65" i="40"/>
  <c r="I53" i="40"/>
  <c r="J53" i="40"/>
  <c r="G49" i="53"/>
  <c r="F145" i="53"/>
  <c r="H145" i="43"/>
  <c r="F148" i="53"/>
  <c r="H148" i="43"/>
  <c r="J121" i="43" l="1"/>
  <c r="V109" i="40"/>
  <c r="F34" i="40"/>
  <c r="C82" i="34" s="1"/>
  <c r="E82" i="34" s="1"/>
  <c r="F110" i="53"/>
  <c r="C83" i="34"/>
  <c r="E83" i="34" s="1"/>
  <c r="G35" i="53"/>
  <c r="F35" i="53"/>
  <c r="C23" i="34"/>
  <c r="I65" i="40"/>
  <c r="G65" i="53"/>
  <c r="J65" i="40"/>
  <c r="H121" i="43"/>
  <c r="F122" i="53"/>
  <c r="V121" i="40"/>
  <c r="G34" i="53" l="1"/>
  <c r="C22" i="34"/>
  <c r="F34" i="53"/>
  <c r="J170" i="54" l="1"/>
  <c r="J170" i="40"/>
  <c r="J165" i="54" l="1"/>
  <c r="J165" i="40"/>
  <c r="J171" i="40"/>
  <c r="J124" i="40"/>
  <c r="J124" i="54"/>
  <c r="J125" i="54" s="1"/>
  <c r="J171" i="54"/>
  <c r="F170" i="54" l="1"/>
  <c r="F124" i="54" s="1"/>
  <c r="F170" i="40"/>
  <c r="U115" i="54"/>
  <c r="U115" i="40"/>
  <c r="F165" i="54"/>
  <c r="F116" i="54" s="1"/>
  <c r="F117" i="54" s="1"/>
  <c r="F165" i="40"/>
  <c r="J124" i="53"/>
  <c r="J125" i="40"/>
  <c r="J172" i="53"/>
  <c r="J168" i="43"/>
  <c r="J116" i="40"/>
  <c r="J166" i="40"/>
  <c r="J166" i="54"/>
  <c r="J116" i="54"/>
  <c r="J117" i="54" s="1"/>
  <c r="U38" i="54" s="1"/>
  <c r="V38" i="54" s="1"/>
  <c r="G52" i="54" l="1"/>
  <c r="G52" i="40"/>
  <c r="J164" i="43"/>
  <c r="J167" i="53"/>
  <c r="U120" i="54"/>
  <c r="U120" i="40"/>
  <c r="J124" i="43"/>
  <c r="J125" i="53"/>
  <c r="F116" i="40"/>
  <c r="V115" i="40" s="1"/>
  <c r="F167" i="53"/>
  <c r="V116" i="54"/>
  <c r="F36" i="54"/>
  <c r="J155" i="54"/>
  <c r="J155" i="40"/>
  <c r="U103" i="54"/>
  <c r="U103" i="40"/>
  <c r="Y115" i="40"/>
  <c r="J116" i="53"/>
  <c r="J117" i="40"/>
  <c r="J133" i="54"/>
  <c r="J134" i="54" s="1"/>
  <c r="J141" i="54" s="1"/>
  <c r="J148" i="54" s="1"/>
  <c r="J133" i="40"/>
  <c r="J134" i="40" s="1"/>
  <c r="F133" i="54"/>
  <c r="F133" i="40"/>
  <c r="F155" i="54"/>
  <c r="F155" i="40"/>
  <c r="V115" i="54"/>
  <c r="Y115" i="54"/>
  <c r="F124" i="40"/>
  <c r="F172" i="53"/>
  <c r="V123" i="54"/>
  <c r="F125" i="54"/>
  <c r="V124" i="54" s="1"/>
  <c r="J115" i="43" l="1"/>
  <c r="J117" i="53"/>
  <c r="U38" i="40"/>
  <c r="V38" i="40" s="1"/>
  <c r="J134" i="43"/>
  <c r="J135" i="53"/>
  <c r="J141" i="40"/>
  <c r="Y120" i="40"/>
  <c r="V120" i="40"/>
  <c r="F135" i="53"/>
  <c r="H134" i="43"/>
  <c r="F124" i="53"/>
  <c r="V123" i="40"/>
  <c r="F125" i="40"/>
  <c r="Y120" i="54"/>
  <c r="V120" i="54"/>
  <c r="F116" i="53"/>
  <c r="F117" i="40"/>
  <c r="Y103" i="40"/>
  <c r="Y103" i="54"/>
  <c r="F106" i="40"/>
  <c r="V103" i="40" s="1"/>
  <c r="H157" i="43"/>
  <c r="F157" i="53"/>
  <c r="J156" i="40"/>
  <c r="J106" i="40"/>
  <c r="I52" i="40"/>
  <c r="I53" i="43" s="1"/>
  <c r="J52" i="40"/>
  <c r="G53" i="53"/>
  <c r="F106" i="54"/>
  <c r="F107" i="54" s="1"/>
  <c r="J156" i="54"/>
  <c r="J167" i="54" s="1"/>
  <c r="J172" i="54" s="1"/>
  <c r="J106" i="54"/>
  <c r="J107" i="54" s="1"/>
  <c r="I52" i="54"/>
  <c r="J52" i="54"/>
  <c r="U35" i="54" l="1"/>
  <c r="V35" i="54" s="1"/>
  <c r="J118" i="54"/>
  <c r="J126" i="54" s="1"/>
  <c r="V104" i="54"/>
  <c r="F33" i="54"/>
  <c r="F37" i="54" s="1"/>
  <c r="F118" i="54"/>
  <c r="J148" i="40"/>
  <c r="J141" i="43"/>
  <c r="J142" i="53"/>
  <c r="V103" i="54"/>
  <c r="H115" i="43"/>
  <c r="F36" i="40"/>
  <c r="V116" i="40"/>
  <c r="F117" i="53"/>
  <c r="F106" i="53"/>
  <c r="F107" i="40"/>
  <c r="J106" i="53"/>
  <c r="J107" i="40"/>
  <c r="J157" i="43"/>
  <c r="J167" i="40"/>
  <c r="J157" i="53"/>
  <c r="H124" i="43"/>
  <c r="V124" i="40"/>
  <c r="F125" i="53"/>
  <c r="G36" i="53" l="1"/>
  <c r="C84" i="34"/>
  <c r="E84" i="34" s="1"/>
  <c r="F36" i="53"/>
  <c r="C24" i="34"/>
  <c r="J149" i="53"/>
  <c r="J149" i="43"/>
  <c r="U35" i="40"/>
  <c r="V35" i="40" s="1"/>
  <c r="J118" i="40"/>
  <c r="J107" i="53"/>
  <c r="J107" i="43"/>
  <c r="V117" i="54"/>
  <c r="F126" i="54"/>
  <c r="V125" i="54" s="1"/>
  <c r="U54" i="54"/>
  <c r="U11" i="54"/>
  <c r="X11" i="54"/>
  <c r="V11" i="54"/>
  <c r="Z11" i="54" s="1"/>
  <c r="F107" i="53"/>
  <c r="F118" i="40"/>
  <c r="V104" i="40"/>
  <c r="H107" i="43"/>
  <c r="F33" i="40"/>
  <c r="U22" i="54"/>
  <c r="U34" i="54"/>
  <c r="V22" i="54"/>
  <c r="J172" i="40"/>
  <c r="J165" i="43"/>
  <c r="J168" i="53"/>
  <c r="U39" i="54" l="1"/>
  <c r="V39" i="54" s="1"/>
  <c r="V34" i="54"/>
  <c r="J126" i="40"/>
  <c r="S128" i="40" s="1"/>
  <c r="J118" i="53"/>
  <c r="J116" i="43"/>
  <c r="G33" i="53"/>
  <c r="C21" i="34"/>
  <c r="F33" i="53"/>
  <c r="F37" i="40"/>
  <c r="C81" i="34"/>
  <c r="Z22" i="54"/>
  <c r="X23" i="54"/>
  <c r="X24" i="54"/>
  <c r="F126" i="40"/>
  <c r="F118" i="53"/>
  <c r="V117" i="40"/>
  <c r="H116" i="43"/>
  <c r="J173" i="53"/>
  <c r="J169" i="43"/>
  <c r="X56" i="54"/>
  <c r="Y56" i="54" s="1"/>
  <c r="X55" i="54"/>
  <c r="Y55" i="54" s="1"/>
  <c r="X54" i="54"/>
  <c r="X59" i="54"/>
  <c r="Y59" i="54" s="1"/>
  <c r="X58" i="54"/>
  <c r="Y58" i="54" s="1"/>
  <c r="X57" i="54"/>
  <c r="Y57" i="54" s="1"/>
  <c r="C25" i="34" l="1"/>
  <c r="G37" i="53"/>
  <c r="X11" i="40"/>
  <c r="U11" i="40"/>
  <c r="F37" i="53"/>
  <c r="U54" i="40"/>
  <c r="C58" i="34"/>
  <c r="V11" i="40"/>
  <c r="Z11" i="40" s="1"/>
  <c r="E41" i="43"/>
  <c r="N35" i="43" s="1"/>
  <c r="N109" i="43" s="1"/>
  <c r="V125" i="40"/>
  <c r="H125" i="43"/>
  <c r="F126" i="53"/>
  <c r="J126" i="53"/>
  <c r="J125" i="43"/>
  <c r="U22" i="40"/>
  <c r="V22" i="40"/>
  <c r="U34" i="40"/>
  <c r="C85" i="34"/>
  <c r="E85" i="34" s="1"/>
  <c r="F41" i="43" s="1"/>
  <c r="E81" i="34"/>
  <c r="C61" i="34" l="1"/>
  <c r="C64" i="34"/>
  <c r="E58" i="34"/>
  <c r="C63" i="34"/>
  <c r="C62" i="34"/>
  <c r="C66" i="34"/>
  <c r="C65" i="34"/>
  <c r="X59" i="40"/>
  <c r="Y59" i="40" s="1"/>
  <c r="X57" i="40"/>
  <c r="Y57" i="40" s="1"/>
  <c r="X58" i="40"/>
  <c r="Y58" i="40" s="1"/>
  <c r="X55" i="40"/>
  <c r="Y55" i="40" s="1"/>
  <c r="X56" i="40"/>
  <c r="Y56" i="40" s="1"/>
  <c r="X54" i="40"/>
  <c r="V34" i="40"/>
  <c r="U39" i="40"/>
  <c r="V39" i="40" s="1"/>
  <c r="Z22" i="40"/>
  <c r="X23" i="40"/>
  <c r="X24" i="40"/>
  <c r="D25" i="34"/>
  <c r="C30" i="34"/>
  <c r="C29" i="34"/>
  <c r="C32" i="34"/>
  <c r="C31" i="34"/>
  <c r="C28" i="34"/>
  <c r="X12" i="40" l="1"/>
  <c r="X12" i="54"/>
  <c r="X15" i="54"/>
  <c r="X15" i="40"/>
  <c r="X13" i="54"/>
  <c r="X13" i="40"/>
  <c r="X14" i="54"/>
  <c r="X14" i="40"/>
  <c r="F25" i="34"/>
  <c r="N37" i="54" s="1"/>
  <c r="N109" i="54" s="1"/>
  <c r="E25" i="34"/>
  <c r="N37" i="40" s="1"/>
  <c r="N109" i="40" s="1"/>
  <c r="J75" i="54" l="1"/>
  <c r="J75" i="40"/>
  <c r="G75" i="54"/>
  <c r="H75" i="54" s="1"/>
  <c r="G75" i="40"/>
  <c r="H75"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Celia de Cominges San Martin</author>
  </authors>
  <commentList>
    <comment ref="I41" authorId="0" shapeId="0" xr:uid="{00000000-0006-0000-0300-000001000000}">
      <text>
        <r>
          <rPr>
            <b/>
            <sz val="9"/>
            <color indexed="81"/>
            <rFont val="Tahoma"/>
            <family val="2"/>
          </rPr>
          <t>Celia de Cominges San Martin:</t>
        </r>
        <r>
          <rPr>
            <sz val="9"/>
            <color indexed="81"/>
            <rFont val="Tahoma"/>
            <family val="2"/>
          </rPr>
          <t xml:space="preserve">
0.35 mw DE DESCUADRE PERO ES POR COSAS MINIMAS Y COMO LO ESTAMOS COMPARANDO CON ye20 HARDCODED DEL BACK UPO NO SABEMOS SI FUE UNA CORRECCION</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65">
    <s v="EDPRModel"/>
    <s v="[DIM_CATEGORY].[COD_CATEGORY].&amp;[A]"/>
    <s v="[SLICER_TIME].[TIME].&amp;[YTD]"/>
    <s v="{[DIM_REPORTING_UNIT].[COD_PLATFORM_EDPR].&amp;[EDPR-APAC]}"/>
    <s v="[Measures].[Net Capacity Factor]"/>
    <s v="[DIM_REPORTING_UNIT].[COD_PLATFORM_EDPR].&amp;[EDPR-NA]"/>
    <s v="[DIM_REPORTING_UNIT].[COD_COUNTRY].&amp;[US]"/>
    <s v="[FCT_PARK_EDPR].[COD_INDICATOR].&amp;[MW_EBITDA]"/>
    <s v="[Measures].[AMT PARK]"/>
    <s v="[DIM_PARK].[DESC_SUBTECHNOLOGY].&amp;[Wind]"/>
    <s v="{[DIM_REPORTING_UNIT].[COD_PLATFORM_EDPR].&amp;[EDPR-NA]}"/>
    <s v="[DIM_REPORTING_UNIT].[COD_COUNTRY].&amp;[BR]"/>
    <s v="{[DIM_REPORTING_UNIT].[COD_PLATFORM_EDPR].&amp;[EDPR-LATAM]}"/>
    <s v="[DIM_REPORTING_UNIT].[COD_PLATFORM_EDPR].&amp;[EDPR-APAC]"/>
    <s v="[FCT_PARK_EDPR].[COD_INDICATOR].&amp;[MW_NET_EQUITY]"/>
    <s v="[FCT_PARK_EDPR].[COD_INDICATOR].&amp;[MW_NCI]"/>
    <s v="[Measures].[AMT PROJECT]"/>
    <s v="[FCT_PROJECT_EDPR].[DESC_OPERATIONAL_STATUS].&amp;[Construction]"/>
    <s v="{([DIM_PARK].[DESC_SUBTECHNOLOGY].&amp;[Fixed-bottom offshore wind]),([DIM_PARK].[DESC_SUBTECHNOLOGY].&amp;[Floating offshore wind])}"/>
    <s v="[DIM_REPORTING_UNIT].[COD_COUNTRY].&amp;[CA]"/>
    <s v="[DIM_REPORTING_UNIT].[COD_COUNTRY].&amp;[CL]"/>
    <s v="[DIM_REPORTING_UNIT].[COD_COUNTRY].&amp;[MX]"/>
    <s v="[DIM_PARK].[DESC_SUBTECHNOLOGY].&amp;[DG]"/>
    <s v="[DIM_PARK].[DESC_TECHNOLOGY].&amp;[Storage]"/>
    <s v="[Measures].[Average Capacity EBITDA OPS]"/>
    <s v="[FCT_PROJECT_EDPR].[COD_INDICATOR].&amp;[MW_EBITDA]"/>
    <s v="[DIM_CALENDAR].[COD_MONTH].&amp;[202412]"/>
    <s v="{[DIM_CALENDAR].[COD_MONTH].&amp;[202410],[DIM_CALENDAR].[COD_MONTH].&amp;[202411],[DIM_CALENDAR].[COD_MONTH].&amp;[202412]}"/>
    <s v="{([DIM_REPORTING_UNIT].[COD_PLATFORM_EDPR].&amp;[EDPR-IB],[DIM_REPORTING_UNIT].[COD_COUNTRY].&amp;[PT]),([DIM_REPORTING_UNIT].[COD_PLATFORM_EDPR].&amp;[EDPR-OFF],[DIM_REPORTING_UNIT].[COD_COUNTRY].&amp;[PT])}"/>
    <s v="[DIM_REPORTING_UNIT].[COD_COUNTRY].&amp;[ES]"/>
    <s v="[DIM_REPORTING_UNIT].[COD_PLATFORM_EDPR].&amp;[EDPR-IB]"/>
    <s v="{{([DIM_REPORTING_UNIT].[COD_PLATFORM_EDPR].&amp;[EDPR-IB],[DIM_REPORTING_UNIT].[COD_COUNTRY].&amp;[PT]),([DIM_REPORTING_UNIT].[COD_PLATFORM_EDPR].&amp;[EDPR-OFF],[DIM_REPORTING_UNIT].[COD_COUNTRY].&amp;[PT])},([DIM_REPORTING_UNIT].[COD_PLATFORM_EDPR].&amp;[EDPR-IB],[DIM_REPORTING_UNIT].[COD_COUNTRY].&amp;[ES]),{([DIM_REPORTING_UNIT].[COD_PLATFORM_EDPR].&amp;[EDPR-EU],[DIM_REPORTING_UNIT].[COD_COUNTRY].&amp;[ES-EUH]),{([DIM_REPORTING_UNIT].[COD_PLATFORM_EDPR].&amp;[EDPR-EU],[DIM_REPORTING_UNIT].[COD_COUNTRY].&amp;[BE]),([DIM_REPORTING_UNIT].[COD_PLATFORM_EDPR].&amp;[EDPR-OFF],[DIM_REPORTING_UNIT].[COD_COUNTRY].&amp;[BE])},{([DIM_REPORTING_UNIT].[COD_PLATFORM_EDPR].&amp;[EDPR-EU],[DIM_REPORTING_UNIT].[COD_COUNTRY].&amp;[FR]),([DIM_REPORTING_UNIT].[COD_PLATFORM_EDPR].&amp;[EDPR-OFF],[DIM_REPORTING_UNIT].[COD_COUNTRY].&amp;[FR])},([DIM_REPORTING_UNIT].[COD_PLATFORM_EDPR].&amp;[EDPR-EU],[DIM_REPORTING_UNIT].[COD_COUNTRY].&amp;[RO]),([DIM_REPORTING_UNIT].[COD_PLATFORM_EDPR].&amp;[EDPR-EU],[DIM_REPORTING_UNIT].[COD_COUNTRY].&amp;[IT]),([DIM_REPORTING_UNIT].[COD_PLATFORM_EDPR].&amp;[EDPR-EU],[DIM_REPORTING_UNIT].[COD_COUNTRY].&amp;[PL]),([DIM_REPORTING_UNIT].[COD_PLATFORM_EDPR].&amp;[EDPR-EU],[DIM_REPORTING_UNIT].[COD_COUNTRY].&amp;[GR]),{([DIM_REPORTING_UNIT].[COD_PLATFORM_EDPR].&amp;[EDPR-EU],[DIM_REPORTING_UNIT].[COD_COUNTRY].&amp;[GB]),([DIM_REPORTING_UNIT].[COD_PLATFORM_EDPR].&amp;[EDPR-OFF],[DIM_REPORTING_UNIT].[COD_COUNTRY].&amp;[GB])},([DIM_REPORTING_UNIT].[COD_PLATFORM_EDPR].&amp;[EDPR-EU],[DIM_REPORTING_UNIT].[COD_COUNTRY].&amp;[HU]),([DIM_REPORTING_UNIT].[COD_PLATFORM_EDPR].&amp;[EDPR-EU],[DIM_REPORTING_UNIT].[COD_COUNTRY].&amp;[DE]),([DIM_REPORTING_UNIT].[COD_PLATFORM_EDPR].&amp;[EDPR-EU],[DIM_REPORTING_UNIT].[COD_COUNTRY].&amp;[NL])}}"/>
    <s v="[DIM_PARK].[DESC_TECHNOLOGY].&amp;[Solar]"/>
    <s v="[DIM_REPORTING_UNIT].[COD_COUNTRY].&amp;[TH]"/>
    <s v="[FCT_PARK_EDPR].[COD_INDICATOR].&amp;[MW_EBITDA_NET_EQUITY]"/>
    <s v="[DIM_PARK].[DESC_SUBTECHNOLOGY].&amp;[Solar Utility Scale]"/>
    <s v="{([DIM_REPORTING_UNIT].[COD_PLATFORM_EDPR].&amp;[EDPR-EU],[DIM_REPORTING_UNIT].[COD_COUNTRY].&amp;[ES-EUH]),{([DIM_REPORTING_UNIT].[COD_PLATFORM_EDPR].&amp;[EDPR-EU],[DIM_REPORTING_UNIT].[COD_COUNTRY].&amp;[BE]),([DIM_REPORTING_UNIT].[COD_PLATFORM_EDPR].&amp;[EDPR-OFF],[DIM_REPORTING_UNIT].[COD_COUNTRY].&amp;[BE])},{([DIM_REPORTING_UNIT].[COD_PLATFORM_EDPR].&amp;[EDPR-EU],[DIM_REPORTING_UNIT].[COD_COUNTRY].&amp;[FR]),([DIM_REPORTING_UNIT].[COD_PLATFORM_EDPR].&amp;[EDPR-OFF],[DIM_REPORTING_UNIT].[COD_COUNTRY].&amp;[FR])},([DIM_REPORTING_UNIT].[COD_PLATFORM_EDPR].&amp;[EDPR-EU],[DIM_REPORTING_UNIT].[COD_COUNTRY].&amp;[RO]),([DIM_REPORTING_UNIT].[COD_PLATFORM_EDPR].&amp;[EDPR-EU],[DIM_REPORTING_UNIT].[COD_COUNTRY].&amp;[IT]),([DIM_REPORTING_UNIT].[COD_PLATFORM_EDPR].&amp;[EDPR-EU],[DIM_REPORTING_UNIT].[COD_COUNTRY].&amp;[PL]),([DIM_REPORTING_UNIT].[COD_PLATFORM_EDPR].&amp;[EDPR-EU],[DIM_REPORTING_UNIT].[COD_COUNTRY].&amp;[GR]),{([DIM_REPORTING_UNIT].[COD_PLATFORM_EDPR].&amp;[EDPR-EU],[DIM_REPORTING_UNIT].[COD_COUNTRY].&amp;[GB]),([DIM_REPORTING_UNIT].[COD_PLATFORM_EDPR].&amp;[EDPR-OFF],[DIM_REPORTING_UNIT].[COD_COUNTRY].&amp;[GB])},([DIM_REPORTING_UNIT].[COD_PLATFORM_EDPR].&amp;[EDPR-EU],[DIM_REPORTING_UNIT].[COD_COUNTRY].&amp;[HU]),([DIM_REPORTING_UNIT].[COD_PLATFORM_EDPR].&amp;[EDPR-EU],[DIM_REPORTING_UNIT].[COD_COUNTRY].&amp;[DE]),([DIM_REPORTING_UNIT].[COD_PLATFORM_EDPR].&amp;[EDPR-EU],[DIM_REPORTING_UNIT].[COD_COUNTRY].&amp;[NL])}"/>
    <s v="[SLICER_TIME].[TIME].&amp;[MTD]"/>
    <s v="[DIM_PARK].[DESC_SUBTECHNOLOGY].&amp;[Storage]"/>
    <s v="[DIM_CALENDAR].[COD_MONTH].&amp;[202509]"/>
    <s v="-{[DIM_PARK].[DESC_SUBTECHNOLOGY].[DG]}"/>
    <s v="{([DIM_PROJECT].[DESC_SUBTECHNOLOGY].&amp;[Fixed-bottom offshore wind]),([DIM_PROJECT].[DESC_SUBTECHNOLOGY].&amp;[Floating offshore wind])}"/>
    <s v="{([DIM_PARK].[DESC_TECHNOLOGY].&amp;[Solar]),([DIM_PARK].[DESC_TECHNOLOGY].&amp;[Storage])}"/>
    <s v="[DIM_REPORTING_UNIT].[COD_COUNTRY].&amp;[SG]"/>
    <s v="{([DIM_PROJECT].[DESC_TECHNOLOGY].&amp;[Solar]),([DIM_PROJECT].[DESC_TECHNOLOGY].&amp;[Storage])}"/>
    <s v="[DIM_REPORTING_UNIT].[COD_PLATFORM_EDPR].&amp;[EDPR-LATAM]"/>
    <s v="{([DIM_REPORTING_UNIT].[COD_PLATFORM_EDPR].&amp;[EDPR-EU],[DIM_REPORTING_UNIT].[COD_COUNTRY].&amp;[GB]),([DIM_REPORTING_UNIT].[COD_PLATFORM_EDPR].&amp;[EDPR-OFF],[DIM_REPORTING_UNIT].[COD_COUNTRY].&amp;[GB])}"/>
    <s v="{([DIM_REPORTING_UNIT].[COD_PLATFORM_EDPR].&amp;[EDPR-EU],[DIM_REPORTING_UNIT].[COD_COUNTRY].&amp;[FR]),([DIM_REPORTING_UNIT].[COD_PLATFORM_EDPR].&amp;[EDPR-OFF],[DIM_REPORTING_UNIT].[COD_COUNTRY].&amp;[FR])}"/>
    <s v="[FCT_PROJECT_EDPR].[COD_INDICATOR].&amp;[MW_NET_EQUITY]"/>
    <s v="{[DIM_CALENDAR].[COD_MONTH].&amp;[202510],[DIM_CALENDAR].[COD_MONTH].&amp;[202511],[DIM_CALENDAR].[COD_MONTH].&amp;[202512]}"/>
    <s v="[DIM_CATEGORY].[COD_CATEGORY].&amp;[B]"/>
    <s v="[DIM_CALENDAR].[COD_MONTH].&amp;[202512]"/>
    <s v="[FCT_PROJECT_EDPR].[COD_INDICATOR].&amp;[MW_EBITDA_NET_EQUITY]"/>
    <s v="{([DIM_REPORTING_UNIT].[COD_PLATFORM_EDPR].&amp;[EDPR-EU],[DIM_REPORTING_UNIT].[COD_COUNTRY].&amp;[PL]),([DIM_REPORTING_UNIT].[COD_PLATFORM_EDPR].&amp;[EDPR-OFF],[DIM_REPORTING_UNIT].[COD_COUNTRY].&amp;[PL])}"/>
    <s v="[DIM_PROJECT].[DESC_SUBTECHNOLOGY].&amp;[Wind]"/>
    <s v="[DIM_REPORTING_UNIT].[COD_PLATFORM_EDPR].&amp;[EDPR-EU]"/>
    <s v="[DIM_REPORTING_UNIT].[COD_COUNTRY].&amp;[IT]"/>
    <s v="[FCT_PROJECT_EDPR].[COD_INDICATOR].&amp;[MW_NET]"/>
    <s v="[DIM_PARK].[DESC_REGION].&amp;[East]"/>
    <s v="[DIM_PARK].[DESC_ADMIN_DIVISION_1].&amp;[North Carolina]"/>
    <s v="[DIM_PARK].[DESC_ADMIN_DIVISION_1].&amp;[Illinois]"/>
    <s v="[DIM_REPORTING_UNIT].[COD_COUNTRY].&amp;[VN]"/>
    <s v="[DIM_REPORTING_UNIT].[COD_COUNTRY].&amp;[MY]"/>
    <s v="{([DIM_PARK].[DESC_SUBTECHNOLOGY].&amp;[DG]),([DIM_PARK].[DESC_SUBTECHNOLOGY].&amp;[Storage])}"/>
    <s v="[DIM_REPORTING_UNIT].[COD_COUNTRY].&amp;[NL]"/>
  </metadataStrings>
  <mdxMetadata count="360">
    <mdx n="0" f="v">
      <t c="5">
        <n x="26"/>
        <n x="7"/>
        <n x="8"/>
        <n x="1"/>
        <n x="31" s="1"/>
      </t>
    </mdx>
    <mdx n="0" f="v">
      <t c="6">
        <n x="26"/>
        <n x="7"/>
        <n x="8"/>
        <n x="1"/>
        <n x="5"/>
        <n x="6"/>
      </t>
    </mdx>
    <mdx n="0" f="v">
      <t c="5">
        <n x="26"/>
        <n x="7"/>
        <n x="8"/>
        <n x="1"/>
        <n x="28" s="1"/>
      </t>
    </mdx>
    <mdx n="0" f="v">
      <t c="4">
        <n x="26"/>
        <n x="1"/>
        <n x="8"/>
        <n x="1"/>
      </t>
    </mdx>
    <mdx n="0" f="v">
      <t c="4">
        <n x="26"/>
        <n x="7"/>
        <n x="8"/>
        <n x="1"/>
      </t>
    </mdx>
    <mdx n="0" f="v">
      <t c="6">
        <n x="26"/>
        <n x="1"/>
        <n x="2"/>
        <n x="4"/>
        <n x="30"/>
        <n x="29"/>
      </t>
    </mdx>
    <mdx n="0" f="v">
      <t c="5">
        <n x="26"/>
        <n x="1"/>
        <n x="8"/>
        <n x="1"/>
        <n x="10" s="1"/>
      </t>
    </mdx>
    <mdx n="0" f="v">
      <t c="6">
        <n x="26"/>
        <n x="1"/>
        <n x="7"/>
        <n x="8"/>
        <n x="5"/>
        <n x="19"/>
      </t>
    </mdx>
    <mdx n="0" f="v">
      <t c="6">
        <n x="26"/>
        <n x="7"/>
        <n x="14"/>
        <n x="8"/>
        <n x="1"/>
        <n x="21"/>
      </t>
    </mdx>
    <mdx n="0" f="v">
      <t c="5">
        <n x="26"/>
        <n x="7"/>
        <n x="8"/>
        <n x="8"/>
        <n x="12" s="1"/>
      </t>
    </mdx>
    <mdx n="0" f="v">
      <t c="6">
        <n x="26"/>
        <n x="32"/>
        <n x="14"/>
        <n x="8"/>
        <n x="13"/>
        <n x="11"/>
      </t>
    </mdx>
    <mdx n="0" f="v">
      <t c="6">
        <n x="26"/>
        <n x="24"/>
        <n x="8"/>
        <n x="1"/>
        <n x="13"/>
        <n x="20"/>
      </t>
    </mdx>
    <mdx n="0" f="v">
      <t c="5">
        <n x="26"/>
        <n x="1"/>
        <n x="8"/>
        <n x="1"/>
        <n x="3" s="1"/>
      </t>
    </mdx>
    <mdx n="0" f="v">
      <t c="6">
        <n x="26"/>
        <n x="7"/>
        <n x="8"/>
        <n x="8"/>
        <n x="1"/>
        <n x="10" s="1"/>
      </t>
    </mdx>
    <mdx n="0" f="v">
      <t c="6">
        <n x="26"/>
        <n x="24"/>
        <n x="1"/>
        <n x="2"/>
        <n x="13"/>
        <n x="33"/>
      </t>
    </mdx>
    <mdx n="0" f="v">
      <t c="4">
        <n x="27" s="1"/>
        <n x="1"/>
        <n x="8"/>
        <n x="1"/>
      </t>
    </mdx>
    <mdx n="0" f="v">
      <t c="6">
        <n x="26"/>
        <n x="14"/>
        <n x="7"/>
        <n x="4"/>
        <n x="1"/>
        <n x="30"/>
      </t>
    </mdx>
    <mdx n="0" f="v">
      <t c="5">
        <n x="26"/>
        <n x="14"/>
        <n x="8"/>
        <n x="1"/>
        <n x="28" s="1"/>
      </t>
    </mdx>
    <mdx n="0" f="v">
      <t c="5">
        <n x="26"/>
        <n x="15"/>
        <n x="8"/>
        <n x="1"/>
        <n x="10" s="1"/>
      </t>
    </mdx>
    <mdx n="0" f="v">
      <t c="5">
        <n x="26"/>
        <n x="25"/>
        <n x="16"/>
        <n x="1"/>
        <n x="17"/>
      </t>
    </mdx>
    <mdx n="0" f="m">
      <t c="1">
        <n x="9"/>
      </t>
    </mdx>
    <mdx n="0" f="m">
      <t c="1">
        <n x="35"/>
      </t>
    </mdx>
    <mdx n="0" f="m">
      <t c="1">
        <n x="22"/>
      </t>
    </mdx>
    <mdx n="0" f="m">
      <t c="1">
        <n x="38"/>
      </t>
    </mdx>
    <mdx n="0" f="s">
      <ms ns="18" c="0"/>
    </mdx>
    <mdx n="0" f="v">
      <t c="4">
        <n x="39"/>
        <n x="24"/>
        <n x="1"/>
        <n x="2"/>
      </t>
    </mdx>
    <mdx n="0" f="v">
      <t c="5">
        <n x="49" s="1"/>
        <n x="1"/>
        <n x="37"/>
        <n x="4"/>
        <n x="12" s="1"/>
      </t>
    </mdx>
    <mdx n="0" f="v">
      <t c="5">
        <n x="26"/>
        <n x="48"/>
        <n x="16"/>
        <n x="1"/>
        <n x="17"/>
      </t>
    </mdx>
    <mdx n="0" f="v">
      <t c="5">
        <n x="26"/>
        <n x="15"/>
        <n x="8"/>
        <n x="1"/>
        <n x="18" s="1"/>
      </t>
    </mdx>
    <mdx n="0" f="v">
      <t c="5">
        <n x="26"/>
        <n x="22"/>
        <n x="2"/>
        <n x="4"/>
        <n x="22"/>
      </t>
    </mdx>
    <mdx n="0" f="v">
      <t c="5">
        <n x="26"/>
        <n x="52"/>
        <n x="16"/>
        <n x="1"/>
        <n x="17"/>
      </t>
    </mdx>
    <mdx n="0" f="v">
      <t c="5">
        <n x="26"/>
        <n x="23"/>
        <n x="7"/>
        <n x="8"/>
        <n x="1"/>
      </t>
    </mdx>
    <mdx n="0" f="v">
      <t c="5">
        <n x="26"/>
        <n x="1"/>
        <n x="2"/>
        <n x="4"/>
        <n x="22"/>
      </t>
    </mdx>
    <mdx n="0" f="v">
      <t c="5">
        <n x="26"/>
        <n x="1"/>
        <n x="2"/>
        <n x="4"/>
        <n x="35"/>
      </t>
    </mdx>
    <mdx n="0" f="v">
      <t c="6">
        <n x="26"/>
        <n x="1"/>
        <n x="2"/>
        <n x="4"/>
        <n x="9"/>
        <n x="12" s="1"/>
      </t>
    </mdx>
    <mdx n="0" f="v">
      <t c="5">
        <n x="26"/>
        <n x="14"/>
        <n x="2"/>
        <n x="1"/>
        <n x="10" s="1"/>
      </t>
    </mdx>
    <mdx n="0" f="v">
      <t c="5">
        <n x="27" s="1"/>
        <n x="1"/>
        <n x="37"/>
        <n x="4"/>
        <n x="31" s="1"/>
      </t>
    </mdx>
    <mdx n="0" f="v">
      <t c="6">
        <n x="26"/>
        <n x="1"/>
        <n x="2"/>
        <n x="4"/>
        <n x="9"/>
        <n x="36" s="1"/>
      </t>
    </mdx>
    <mdx n="0" f="v">
      <t c="4">
        <n x="26"/>
        <n x="1"/>
        <n x="2"/>
        <n x="4"/>
      </t>
    </mdx>
    <mdx n="0" f="v">
      <t c="5">
        <n x="27" s="1"/>
        <n x="1"/>
        <n x="37"/>
        <n x="4"/>
        <n x="1"/>
      </t>
    </mdx>
    <mdx n="0" f="v">
      <t c="5">
        <n x="26"/>
        <n x="9"/>
        <n x="37"/>
        <n x="4"/>
        <n x="12" s="1"/>
      </t>
    </mdx>
    <mdx n="0" f="v">
      <t c="5">
        <n x="26"/>
        <n x="1"/>
        <n x="2"/>
        <n x="4"/>
        <n x="3" s="1"/>
      </t>
    </mdx>
    <mdx n="0" f="v">
      <t c="6">
        <n x="26"/>
        <n x="1"/>
        <n x="2"/>
        <n x="4"/>
        <n x="9"/>
        <n x="31" s="1"/>
      </t>
    </mdx>
    <mdx n="0" f="v">
      <t c="7">
        <n x="26"/>
        <n x="1"/>
        <n x="2"/>
        <n x="4"/>
        <n x="9"/>
        <n x="30"/>
        <n x="29"/>
      </t>
    </mdx>
    <mdx n="0" f="v">
      <t c="6">
        <n x="26"/>
        <n x="1"/>
        <n x="2"/>
        <n x="4"/>
        <n x="9"/>
        <n x="28" s="1"/>
      </t>
    </mdx>
    <mdx n="0" f="v">
      <t c="6">
        <n x="26"/>
        <n x="1"/>
        <n x="2"/>
        <n x="4"/>
        <n x="9"/>
        <n x="10" s="1"/>
      </t>
    </mdx>
    <mdx n="0" f="v">
      <t c="5">
        <n x="26"/>
        <n x="50"/>
        <n x="37"/>
        <n x="4"/>
        <n x="31" s="1"/>
      </t>
    </mdx>
    <mdx n="0" f="v">
      <t c="4">
        <n x="27" s="1"/>
        <n x="1"/>
        <n x="37"/>
        <n x="4"/>
      </t>
    </mdx>
    <mdx n="0" f="v">
      <t c="5">
        <n x="27" s="1"/>
        <n x="1"/>
        <n x="37"/>
        <n x="4"/>
        <n x="32"/>
      </t>
    </mdx>
    <mdx n="0" f="v">
      <t c="6">
        <n x="27" s="1"/>
        <n x="1"/>
        <n x="37"/>
        <n x="4"/>
        <n x="9"/>
        <n x="12" s="1"/>
      </t>
    </mdx>
    <mdx n="0" f="v">
      <t c="6">
        <n x="27" s="1"/>
        <n x="1"/>
        <n x="37"/>
        <n x="4"/>
        <n x="9"/>
        <n x="10" s="1"/>
      </t>
    </mdx>
    <mdx n="0" f="v">
      <t c="5">
        <n x="26"/>
        <n x="32"/>
        <n x="37"/>
        <n x="8"/>
        <n x="1"/>
      </t>
    </mdx>
    <mdx n="0" f="v">
      <t c="6">
        <n x="27" s="1"/>
        <n x="1"/>
        <n x="37"/>
        <n x="4"/>
        <n x="9"/>
        <n x="36" s="1"/>
      </t>
    </mdx>
    <mdx n="0" f="v">
      <t c="6">
        <n x="27" s="1"/>
        <n x="1"/>
        <n x="37"/>
        <n x="4"/>
        <n x="9"/>
        <n x="28" s="1"/>
      </t>
    </mdx>
    <mdx n="0" f="v">
      <t c="7">
        <n x="27" s="1"/>
        <n x="1"/>
        <n x="37"/>
        <n x="4"/>
        <n x="9"/>
        <n x="30"/>
        <n x="29"/>
      </t>
    </mdx>
    <mdx n="0" f="v">
      <t c="5">
        <n x="26"/>
        <n x="50"/>
        <n x="7"/>
        <n x="8"/>
        <n x="10" s="1"/>
      </t>
    </mdx>
    <mdx n="0" f="v">
      <t c="5">
        <n x="27" s="1"/>
        <n x="1"/>
        <n x="37"/>
        <n x="4"/>
        <n x="2"/>
      </t>
    </mdx>
    <mdx n="0" f="v">
      <t c="5">
        <n x="26"/>
        <n x="9"/>
        <n x="14"/>
        <n x="4"/>
        <n x="3" s="1"/>
      </t>
    </mdx>
    <mdx n="0" f="v">
      <t c="5">
        <n x="26"/>
        <n x="50"/>
        <n x="37"/>
        <n x="1"/>
        <n x="35"/>
      </t>
    </mdx>
    <mdx n="0" f="v">
      <t c="6">
        <n x="27" s="1"/>
        <n x="1"/>
        <n x="37"/>
        <n x="4"/>
        <n x="9"/>
        <n x="31" s="1"/>
      </t>
    </mdx>
    <mdx n="0" f="v">
      <t c="5">
        <n x="39"/>
        <n x="1"/>
        <n x="2"/>
        <n x="4"/>
        <n x="40" s="1"/>
      </t>
    </mdx>
    <mdx n="0" f="v">
      <t c="5">
        <n x="51"/>
        <n x="7"/>
        <n x="8"/>
        <n x="1"/>
        <n x="28" s="1"/>
      </t>
    </mdx>
    <mdx n="0" f="v">
      <t c="7">
        <n x="51"/>
        <n x="9"/>
        <n x="7"/>
        <n x="8"/>
        <n x="1"/>
        <n x="30"/>
        <n x="29"/>
      </t>
    </mdx>
    <mdx n="0" f="v">
      <t c="5">
        <n x="51"/>
        <n x="34"/>
        <n x="8"/>
        <n x="1"/>
        <n x="9"/>
      </t>
    </mdx>
    <mdx n="0" f="v">
      <t c="5">
        <n x="49" s="1"/>
        <n x="1"/>
        <n x="37"/>
        <n x="4"/>
        <n x="40" s="1"/>
      </t>
    </mdx>
    <mdx n="0" f="v">
      <t c="6">
        <n x="49" s="1"/>
        <n x="1"/>
        <n x="37"/>
        <n x="4"/>
        <n x="9"/>
        <n x="12" s="1"/>
      </t>
    </mdx>
    <mdx n="0" f="v">
      <t c="4">
        <n x="26"/>
        <n x="24"/>
        <n x="1"/>
        <n x="2"/>
      </t>
    </mdx>
    <mdx n="0" f="v">
      <t c="5">
        <n x="51"/>
        <n x="1"/>
        <n x="2"/>
        <n x="4"/>
        <n x="40" s="1"/>
      </t>
    </mdx>
    <mdx n="0" f="v">
      <t c="6">
        <n x="51"/>
        <n x="7"/>
        <n x="8"/>
        <n x="1"/>
        <n x="5"/>
        <n x="19"/>
      </t>
    </mdx>
    <mdx n="0" f="v">
      <t c="7">
        <n x="51"/>
        <n x="42" s="1"/>
        <n x="7"/>
        <n x="8"/>
        <n x="1"/>
        <n x="13"/>
        <n x="43"/>
      </t>
    </mdx>
    <mdx n="0" f="v">
      <t c="6">
        <n x="51"/>
        <n x="1"/>
        <n x="2"/>
        <n x="4"/>
        <n x="9"/>
        <n x="36" s="1"/>
      </t>
    </mdx>
    <mdx n="0" f="v">
      <t c="5">
        <n x="51"/>
        <n x="9"/>
        <n x="14"/>
        <n x="8"/>
        <n x="1"/>
      </t>
    </mdx>
    <mdx n="0" f="v">
      <t c="7">
        <n x="51"/>
        <n x="9"/>
        <n x="14"/>
        <n x="8"/>
        <n x="1"/>
        <n x="5"/>
        <n x="6"/>
      </t>
    </mdx>
    <mdx n="0" f="v">
      <t c="6">
        <n x="51"/>
        <n x="7"/>
        <n x="8"/>
        <n x="1"/>
        <n x="5"/>
        <n x="6"/>
      </t>
    </mdx>
    <mdx n="0" f="v">
      <t c="5">
        <n x="49" s="1"/>
        <n x="1"/>
        <n x="37"/>
        <n x="4"/>
        <n x="9"/>
      </t>
    </mdx>
    <mdx n="0" f="v">
      <t c="4">
        <n x="51"/>
        <n x="34"/>
        <n x="8"/>
        <n x="1"/>
      </t>
    </mdx>
    <mdx n="0" f="v">
      <t c="6">
        <n x="51"/>
        <n x="14"/>
        <n x="8"/>
        <n x="1"/>
        <n x="5"/>
        <n x="6"/>
      </t>
    </mdx>
    <mdx n="0" f="v">
      <t c="5">
        <n x="51"/>
        <n x="7"/>
        <n x="8"/>
        <n x="1"/>
        <n x="5"/>
      </t>
    </mdx>
    <mdx n="0" f="v">
      <t c="6">
        <n x="51"/>
        <n x="9"/>
        <n x="7"/>
        <n x="8"/>
        <n x="1"/>
        <n x="28" s="1"/>
      </t>
    </mdx>
    <mdx n="0" f="v">
      <t c="5">
        <n x="51"/>
        <n x="7"/>
        <n x="8"/>
        <n x="1"/>
        <n x="12" s="1"/>
      </t>
    </mdx>
    <mdx n="0" f="v">
      <t c="4">
        <n x="51"/>
        <n x="24"/>
        <n x="1"/>
        <n x="2"/>
      </t>
    </mdx>
    <mdx n="0" f="v">
      <t c="5">
        <n x="51"/>
        <n x="1"/>
        <n x="2"/>
        <n x="4"/>
        <n x="35"/>
      </t>
    </mdx>
    <mdx n="0" f="v">
      <t c="5">
        <n x="51"/>
        <n x="14"/>
        <n x="8"/>
        <n x="1"/>
        <n x="10" s="1"/>
      </t>
    </mdx>
    <mdx n="0" f="v">
      <t c="5">
        <n x="49" s="1"/>
        <n x="1"/>
        <n x="37"/>
        <n x="4"/>
        <n x="10" s="1"/>
      </t>
    </mdx>
    <mdx n="0" f="v">
      <t c="6">
        <n x="51"/>
        <n x="42" s="1"/>
        <n x="7"/>
        <n x="8"/>
        <n x="1"/>
        <n x="10" s="1"/>
      </t>
    </mdx>
    <mdx n="0" f="v">
      <t c="6">
        <n x="51"/>
        <n x="42" s="1"/>
        <n x="7"/>
        <n x="8"/>
        <n x="1"/>
        <n x="31" s="1"/>
      </t>
    </mdx>
    <mdx n="0" f="v">
      <t c="6">
        <n x="51"/>
        <n x="7"/>
        <n x="8"/>
        <n x="1"/>
        <n x="45"/>
        <n x="20"/>
      </t>
    </mdx>
    <mdx n="0" f="v">
      <t c="6">
        <n x="51"/>
        <n x="7"/>
        <n x="8"/>
        <n x="1"/>
        <n x="30"/>
        <n x="29"/>
      </t>
    </mdx>
    <mdx n="0" f="v">
      <t c="5">
        <n x="51"/>
        <n x="7"/>
        <n x="8"/>
        <n x="1"/>
        <n x="35"/>
      </t>
    </mdx>
    <mdx n="0" f="v">
      <t c="5">
        <n x="51"/>
        <n x="7"/>
        <n x="8"/>
        <n x="1"/>
        <n x="18" s="1"/>
      </t>
    </mdx>
    <mdx n="0" f="v">
      <t c="5">
        <n x="51"/>
        <n x="7"/>
        <n x="8"/>
        <n x="1"/>
        <n x="31" s="1"/>
      </t>
    </mdx>
    <mdx n="0" f="v">
      <t c="6">
        <n x="51"/>
        <n x="7"/>
        <n x="8"/>
        <n x="16"/>
        <n x="1"/>
        <n x="17"/>
      </t>
    </mdx>
    <mdx n="0" f="v">
      <t c="7">
        <n x="51"/>
        <n x="7"/>
        <n x="8"/>
        <n x="16"/>
        <n x="1"/>
        <n x="17"/>
        <n x="53" s="1"/>
      </t>
    </mdx>
    <mdx n="0" f="v">
      <t c="6">
        <n x="49" s="1"/>
        <n x="1"/>
        <n x="37"/>
        <n x="4"/>
        <n x="9"/>
        <n x="30"/>
      </t>
    </mdx>
    <mdx n="0" f="v">
      <t c="7">
        <n x="51"/>
        <n x="1"/>
        <n x="2"/>
        <n x="4"/>
        <n x="9"/>
        <n x="30"/>
        <n x="29"/>
      </t>
    </mdx>
    <mdx n="0" f="v">
      <t c="8">
        <n x="51"/>
        <n x="7"/>
        <n x="8"/>
        <n x="1"/>
        <n x="5"/>
        <n x="6"/>
        <n x="58"/>
        <n x="59"/>
      </t>
    </mdx>
    <mdx n="0" f="v">
      <t c="6">
        <n x="51"/>
        <n x="7"/>
        <n x="2"/>
        <n x="4"/>
        <n x="9"/>
        <n x="10" s="1"/>
      </t>
    </mdx>
    <mdx n="0" f="v">
      <t c="8">
        <n x="51"/>
        <n x="7"/>
        <n x="8"/>
        <n x="1"/>
        <n x="1"/>
        <n x="17"/>
        <n x="30"/>
        <n x="29"/>
      </t>
    </mdx>
    <mdx n="0" f="v">
      <t c="5">
        <n x="51"/>
        <n x="7"/>
        <n x="8"/>
        <n x="1"/>
        <n x="45"/>
      </t>
    </mdx>
    <mdx n="0" f="v">
      <t c="5">
        <n x="51"/>
        <n x="7"/>
        <n x="8"/>
        <n x="1"/>
        <n x="10" s="1"/>
      </t>
    </mdx>
    <mdx n="0" f="v">
      <t c="5">
        <n x="51"/>
        <n x="32"/>
        <n x="14"/>
        <n x="8"/>
        <n x="1"/>
      </t>
    </mdx>
    <mdx n="0" f="v">
      <t c="7">
        <n x="51"/>
        <n x="7"/>
        <n x="8"/>
        <n x="1"/>
        <n x="1"/>
        <n x="45"/>
        <n x="11"/>
      </t>
    </mdx>
    <mdx n="0" f="v">
      <t c="4">
        <n x="51"/>
        <n x="24"/>
        <n x="1"/>
        <n x="1"/>
      </t>
    </mdx>
    <mdx n="0" f="v">
      <t c="5">
        <n x="51"/>
        <n x="24"/>
        <n x="1"/>
        <n x="8"/>
        <n x="3" s="1"/>
      </t>
    </mdx>
    <mdx n="0" f="v">
      <t c="5">
        <n x="51"/>
        <n x="14"/>
        <n x="8"/>
        <n x="1"/>
        <n x="3" s="1"/>
      </t>
    </mdx>
    <mdx n="0" f="v">
      <t c="6">
        <n x="51"/>
        <n x="1"/>
        <n x="2"/>
        <n x="4"/>
        <n x="45"/>
        <n x="11"/>
      </t>
    </mdx>
    <mdx n="0" f="v">
      <t c="6">
        <n x="51"/>
        <n x="9"/>
        <n x="7"/>
        <n x="8"/>
        <n x="1"/>
        <n x="3" s="1"/>
      </t>
    </mdx>
    <mdx n="0" f="v">
      <t c="5">
        <n x="51"/>
        <n x="15"/>
        <n x="8"/>
        <n x="1"/>
        <n x="13"/>
      </t>
    </mdx>
    <mdx n="0" f="v">
      <t c="5">
        <n x="51"/>
        <n x="7"/>
        <n x="8"/>
        <n x="1"/>
        <n x="47" s="1"/>
      </t>
    </mdx>
    <mdx n="0" f="v">
      <t c="6">
        <n x="51"/>
        <n x="1"/>
        <n x="2"/>
        <n x="4"/>
        <n x="9"/>
        <n x="28" s="1"/>
      </t>
    </mdx>
    <mdx n="0" f="v">
      <t c="5">
        <n x="51"/>
        <n x="18" s="1"/>
        <n x="14"/>
        <n x="1"/>
        <n x="28" s="1"/>
      </t>
    </mdx>
    <mdx n="0" f="v">
      <t c="6">
        <n x="51"/>
        <n x="18" s="1"/>
        <n x="14"/>
        <n x="8"/>
        <n x="1"/>
        <n x="28" s="1"/>
      </t>
    </mdx>
    <mdx n="0" f="v">
      <t c="6">
        <n x="51"/>
        <n x="9"/>
        <n x="14"/>
        <n x="8"/>
        <n x="1"/>
        <n x="28" s="1"/>
      </t>
    </mdx>
    <mdx n="0" f="v">
      <t c="6">
        <n x="51"/>
        <n x="18" s="1"/>
        <n x="14"/>
        <n x="8"/>
        <n x="1"/>
        <n x="46" s="1"/>
      </t>
    </mdx>
    <mdx n="0" f="v">
      <t c="6">
        <n x="51"/>
        <n x="9"/>
        <n x="7"/>
        <n x="8"/>
        <n x="1"/>
        <n x="31" s="1"/>
      </t>
    </mdx>
    <mdx n="0" f="v">
      <t c="6">
        <n x="51"/>
        <n x="54"/>
        <n x="25"/>
        <n x="16"/>
        <n x="9"/>
        <n x="31" s="1"/>
      </t>
    </mdx>
    <mdx n="0" f="v">
      <t c="6">
        <n x="51"/>
        <n x="9"/>
        <n x="14"/>
        <n x="8"/>
        <n x="1"/>
        <n x="31" s="1"/>
      </t>
    </mdx>
    <mdx n="0" f="v">
      <t c="5">
        <n x="51"/>
        <n x="23"/>
        <n x="7"/>
        <n x="8"/>
        <n x="36" s="1"/>
      </t>
    </mdx>
    <mdx n="0" f="v">
      <t c="5">
        <n x="51"/>
        <n x="25"/>
        <n x="8"/>
        <n x="1"/>
        <n x="23"/>
      </t>
    </mdx>
    <mdx n="0" f="v">
      <t c="4">
        <n x="51"/>
        <n x="44" s="1"/>
        <n x="25"/>
        <n x="1"/>
      </t>
    </mdx>
    <mdx n="0" f="v">
      <t c="6">
        <n x="51"/>
        <n x="9"/>
        <n x="63" s="1"/>
        <n x="7"/>
        <n x="8"/>
        <n x="29"/>
      </t>
    </mdx>
    <mdx n="0" f="v">
      <t c="6">
        <n x="51"/>
        <n x="24"/>
        <n x="1"/>
        <n x="1"/>
        <n x="45"/>
        <n x="11"/>
      </t>
    </mdx>
    <mdx n="0" f="v">
      <t c="6">
        <n x="51"/>
        <n x="7"/>
        <n x="8"/>
        <n x="1"/>
        <n x="13"/>
        <n x="61"/>
      </t>
    </mdx>
    <mdx n="0" f="v">
      <t c="6">
        <n x="51"/>
        <n x="24"/>
        <n x="1"/>
        <n x="2"/>
        <n x="13"/>
        <n x="43"/>
      </t>
    </mdx>
    <mdx n="0" f="v">
      <t c="6">
        <n x="51"/>
        <n x="7"/>
        <n x="8"/>
        <n x="8"/>
        <n x="1"/>
        <n x="10" s="1"/>
      </t>
    </mdx>
    <mdx n="0" f="v">
      <t c="7">
        <n x="51"/>
        <n x="7"/>
        <n x="8"/>
        <n x="8"/>
        <n x="1"/>
        <n x="13"/>
        <n x="62"/>
      </t>
    </mdx>
    <mdx n="0" f="v">
      <t c="7">
        <n x="51"/>
        <n x="7"/>
        <n x="8"/>
        <n x="1"/>
        <n x="53" s="1"/>
        <n x="5"/>
        <n x="19"/>
      </t>
    </mdx>
    <mdx n="0" f="v">
      <t c="7">
        <n x="51"/>
        <n x="7"/>
        <n x="7"/>
        <n x="1"/>
        <n x="1"/>
        <n x="5"/>
        <n x="21"/>
      </t>
    </mdx>
    <mdx n="0" f="v">
      <t c="7">
        <n x="51"/>
        <n x="24"/>
        <n x="1"/>
        <n x="2"/>
        <n x="55"/>
        <n x="64"/>
        <n x="20"/>
      </t>
    </mdx>
    <mdx n="0" f="v">
      <t c="5">
        <n x="51"/>
        <n x="15"/>
        <n x="8"/>
        <n x="1"/>
        <n x="1"/>
      </t>
    </mdx>
    <mdx n="0" f="v">
      <t c="7">
        <n x="51"/>
        <n x="1"/>
        <n x="2"/>
        <n x="8"/>
        <n x="1"/>
        <n x="30"/>
        <n x="29"/>
      </t>
    </mdx>
    <mdx n="0" f="v">
      <t c="6">
        <n x="51"/>
        <n x="42" s="1"/>
        <n x="7"/>
        <n x="8"/>
        <n x="1"/>
        <n x="28" s="1"/>
      </t>
    </mdx>
    <mdx n="0" f="v">
      <t c="7">
        <n x="51"/>
        <n x="7"/>
        <n x="8"/>
        <n x="1"/>
        <n x="10" s="1"/>
        <n x="5"/>
        <n x="6"/>
      </t>
    </mdx>
    <mdx n="0" f="v">
      <t c="7">
        <n x="51"/>
        <n x="15"/>
        <n x="8"/>
        <n x="1"/>
        <n x="13"/>
        <n x="62"/>
        <n x="21"/>
      </t>
    </mdx>
    <mdx n="0" f="v">
      <t c="6">
        <n x="51"/>
        <n x="7"/>
        <n x="8"/>
        <n x="1"/>
        <n x="1"/>
        <n x="12" s="1"/>
      </t>
    </mdx>
    <mdx n="0" f="v">
      <t c="7">
        <n x="51"/>
        <n x="32"/>
        <n x="7"/>
        <n x="8"/>
        <n x="1"/>
        <n x="47" s="1"/>
        <n x="11"/>
      </t>
    </mdx>
    <mdx n="0" f="v">
      <t c="7">
        <n x="51"/>
        <n x="22"/>
        <n x="8"/>
        <n x="1"/>
        <n x="9"/>
        <n x="13"/>
        <n x="61"/>
      </t>
    </mdx>
    <mdx n="0" f="v">
      <t c="7">
        <n x="51"/>
        <n x="15"/>
        <n x="2"/>
        <n x="4"/>
        <n x="55"/>
        <n x="30"/>
        <n x="29"/>
      </t>
    </mdx>
    <mdx n="0" f="v">
      <t c="6">
        <n x="51"/>
        <n x="9"/>
        <n x="14"/>
        <n x="8"/>
        <n x="1"/>
        <n x="10" s="1"/>
      </t>
    </mdx>
    <mdx n="0" f="v">
      <t c="7">
        <n x="51"/>
        <n x="24"/>
        <n x="1"/>
        <n x="2"/>
        <n x="9"/>
        <n x="56"/>
        <n x="19"/>
      </t>
    </mdx>
    <mdx n="0" f="v">
      <t c="7">
        <n x="51"/>
        <n x="32"/>
        <n x="14"/>
        <n x="8"/>
        <n x="1"/>
        <n x="5"/>
        <n x="6"/>
      </t>
    </mdx>
    <mdx n="0" f="v">
      <t c="6">
        <n x="51"/>
        <n x="7"/>
        <n x="8"/>
        <n x="2"/>
        <n x="1"/>
        <n x="47" s="1"/>
      </t>
    </mdx>
    <mdx n="0" f="v">
      <t c="8">
        <n x="51"/>
        <n x="25"/>
        <n x="8"/>
        <n x="8"/>
        <n x="1"/>
        <n x="17"/>
        <n x="30"/>
        <n x="29"/>
      </t>
    </mdx>
    <mdx n="0" f="v">
      <t c="8">
        <n x="51"/>
        <n x="7"/>
        <n x="8"/>
        <n x="1"/>
        <n x="5"/>
        <n x="6"/>
        <n x="58"/>
        <n x="60"/>
      </t>
    </mdx>
    <mdx n="0" f="v">
      <t c="8">
        <n x="51"/>
        <n x="25"/>
        <n x="16"/>
        <n x="16"/>
        <n x="1"/>
        <n x="17"/>
        <n x="13"/>
        <n x="43"/>
      </t>
    </mdx>
    <mdx n="0" f="v">
      <t c="6">
        <n x="51"/>
        <n x="41" s="1"/>
        <n x="57"/>
        <n x="16"/>
        <n x="1"/>
        <n x="17"/>
      </t>
    </mdx>
    <mdx n="0" f="v">
      <t c="7">
        <n x="51"/>
        <n x="54"/>
        <n x="16"/>
        <n x="1"/>
        <n x="1"/>
        <n x="17"/>
        <n x="47" s="1"/>
      </t>
    </mdx>
    <mdx n="0" f="v">
      <t c="5">
        <n x="51"/>
        <n x="7"/>
        <n x="14"/>
        <n x="8"/>
        <n x="31" s="1"/>
      </t>
    </mdx>
    <mdx n="0" f="v">
      <t c="5">
        <n x="51"/>
        <n x="15"/>
        <n x="2"/>
        <n x="4"/>
        <n x="10" s="1"/>
      </t>
    </mdx>
    <mdx n="0" f="v">
      <t c="5">
        <n x="51"/>
        <n x="7"/>
        <n x="2"/>
        <n x="4"/>
        <n x="9"/>
      </t>
    </mdx>
    <mdx n="0" f="v">
      <t c="6">
        <n x="51"/>
        <n x="24"/>
        <n x="1"/>
        <n x="2"/>
        <n x="45"/>
        <n x="11"/>
      </t>
    </mdx>
    <mdx n="0" f="v">
      <t c="7">
        <n x="49" s="1"/>
        <n x="1"/>
        <n x="37"/>
        <n x="4"/>
        <n x="9"/>
        <n x="30"/>
        <n x="29"/>
      </t>
    </mdx>
    <mdx n="0" f="v">
      <t c="6">
        <n x="51"/>
        <n x="44" s="1"/>
        <n x="25"/>
        <n x="16"/>
        <n x="1"/>
        <n x="17"/>
      </t>
    </mdx>
    <mdx n="0" f="v">
      <t c="6">
        <n x="51"/>
        <n x="15"/>
        <n x="8"/>
        <n x="1"/>
        <n x="30"/>
        <n x="29"/>
      </t>
    </mdx>
    <mdx n="0" f="v">
      <t c="6">
        <n x="51"/>
        <n x="1"/>
        <n x="2"/>
        <n x="4"/>
        <n x="9"/>
        <n x="5"/>
      </t>
    </mdx>
    <mdx n="0" f="v">
      <t c="7">
        <n x="26"/>
        <n x="42" s="1"/>
        <n x="7"/>
        <n x="8"/>
        <n x="1"/>
        <n x="13"/>
        <n x="43"/>
      </t>
    </mdx>
    <mdx n="0" f="v">
      <t c="7">
        <n x="26"/>
        <n x="15"/>
        <n x="8"/>
        <n x="1"/>
        <n x="10" s="1"/>
        <n x="13"/>
        <n x="43"/>
      </t>
    </mdx>
    <mdx n="0" f="v">
      <t c="5">
        <n x="51"/>
        <n x="14"/>
        <n x="8"/>
        <n x="1"/>
        <n x="45"/>
      </t>
    </mdx>
    <mdx n="0" f="v">
      <t c="5">
        <n x="51"/>
        <n x="42" s="1"/>
        <n x="7"/>
        <n x="8"/>
        <n x="28" s="1"/>
      </t>
    </mdx>
    <mdx n="0" f="v">
      <t c="8">
        <n x="51"/>
        <n x="9"/>
        <n x="7"/>
        <n x="8"/>
        <n x="1"/>
        <n x="5"/>
        <n x="13"/>
        <n x="43"/>
      </t>
    </mdx>
    <mdx n="0" f="v">
      <t c="7">
        <n x="51"/>
        <n x="9"/>
        <n x="7"/>
        <n x="8"/>
        <n x="1"/>
        <n x="5"/>
        <n x="6"/>
      </t>
    </mdx>
    <mdx n="0" f="v">
      <t c="6">
        <n x="51"/>
        <n x="9"/>
        <n x="8"/>
        <n x="8"/>
        <n x="1"/>
        <n x="3" s="1"/>
      </t>
    </mdx>
    <mdx n="0" f="v">
      <t c="5">
        <n x="51"/>
        <n x="9"/>
        <n x="14"/>
        <n x="8"/>
        <n x="1"/>
      </t>
    </mdx>
    <mdx n="0" f="v">
      <t c="6">
        <n x="51"/>
        <n x="42" s="1"/>
        <n x="7"/>
        <n x="1"/>
        <n x="1"/>
        <n x="12" s="1"/>
      </t>
    </mdx>
    <mdx n="0" f="v">
      <t c="7">
        <n x="51"/>
        <n x="42" s="1"/>
        <n x="7"/>
        <n x="8"/>
        <n x="1"/>
        <n x="30"/>
        <n x="29"/>
      </t>
    </mdx>
    <mdx n="0" f="v">
      <t c="6">
        <n x="51"/>
        <n x="24"/>
        <n x="7"/>
        <n x="8"/>
        <n x="1"/>
        <n x="28" s="1"/>
      </t>
    </mdx>
    <mdx n="0" f="v">
      <t c="4">
        <n x="51"/>
        <n x="7"/>
        <n x="8"/>
        <n x="1"/>
      </t>
    </mdx>
    <mdx n="0" f="v">
      <t c="6">
        <n x="51"/>
        <n x="7"/>
        <n x="8"/>
        <n x="1"/>
        <n x="5"/>
        <n x="6"/>
      </t>
    </mdx>
    <mdx n="0" f="v">
      <t c="8">
        <n x="27" s="1"/>
        <n x="1"/>
        <n x="8"/>
        <n x="1"/>
        <n x="5"/>
        <n x="6"/>
        <n x="58"/>
        <n x="60"/>
      </t>
    </mdx>
    <mdx n="0" f="v">
      <t c="4">
        <n x="26"/>
        <n x="1"/>
        <n x="2"/>
        <n x="1"/>
      </t>
    </mdx>
    <mdx n="0" f="v">
      <t c="6">
        <n x="49" s="1"/>
        <n x="1"/>
        <n x="7"/>
        <n x="4"/>
        <n x="30"/>
        <n x="29"/>
      </t>
    </mdx>
    <mdx n="0" f="v">
      <t c="5">
        <n x="49" s="1"/>
        <n x="1"/>
        <n x="7"/>
        <n x="4"/>
        <n x="31" s="1"/>
      </t>
    </mdx>
    <mdx n="0" f="v">
      <t c="6">
        <n x="49" s="1"/>
        <n x="1"/>
        <n x="7"/>
        <n x="4"/>
        <n x="9"/>
        <n x="12" s="1"/>
      </t>
    </mdx>
    <mdx n="0" f="v">
      <t c="6">
        <n x="26"/>
        <n x="1"/>
        <n x="7"/>
        <n x="4"/>
        <n x="9"/>
        <n x="12" s="1"/>
      </t>
    </mdx>
    <mdx n="0" f="v">
      <t c="6">
        <n x="26"/>
        <n x="24"/>
        <n x="1"/>
        <n x="2"/>
        <n x="13"/>
        <n x="12" s="1"/>
      </t>
    </mdx>
    <mdx n="0" f="v">
      <t c="6">
        <n x="51"/>
        <n x="1"/>
        <n x="1"/>
        <n x="2"/>
        <n x="13"/>
        <n x="33"/>
      </t>
    </mdx>
    <mdx n="0" f="v">
      <t c="6">
        <n x="26"/>
        <n x="41" s="1"/>
        <n x="57"/>
        <n x="4"/>
        <n x="30"/>
        <n x="29"/>
      </t>
    </mdx>
    <mdx n="0" f="v">
      <t c="6">
        <n x="26"/>
        <n x="1"/>
        <n x="2"/>
        <n x="16"/>
        <n x="1"/>
        <n x="17"/>
      </t>
    </mdx>
    <mdx n="0" f="v">
      <t c="6">
        <n x="26"/>
        <n x="7"/>
        <n x="7"/>
        <n x="8"/>
        <n x="5"/>
        <n x="19"/>
      </t>
    </mdx>
    <mdx n="0" f="v">
      <t c="7">
        <n x="26"/>
        <n x="7"/>
        <n x="8"/>
        <n x="8"/>
        <n x="5"/>
        <n x="19"/>
        <n x="29"/>
      </t>
    </mdx>
    <mdx n="0" f="v">
      <t c="6">
        <n x="49" s="1"/>
        <n x="32"/>
        <n x="2"/>
        <n x="4"/>
        <n x="5"/>
        <n x="19"/>
      </t>
    </mdx>
    <mdx n="0" f="v">
      <t c="7">
        <n x="26"/>
        <n x="1"/>
        <n x="37"/>
        <n x="8"/>
        <n x="9"/>
        <n x="47" s="1"/>
        <n x="11"/>
      </t>
    </mdx>
    <mdx n="0" f="v">
      <t c="7">
        <n x="26"/>
        <n x="9"/>
        <n x="8"/>
        <n x="8"/>
        <n x="10" s="1"/>
        <n x="30"/>
        <n x="29"/>
      </t>
    </mdx>
    <mdx n="0" f="v">
      <t c="5">
        <n x="26"/>
        <n x="9"/>
        <n x="37"/>
        <n x="8"/>
        <n x="10" s="1"/>
      </t>
    </mdx>
    <mdx n="0" f="v">
      <t c="5">
        <n x="26"/>
        <n x="1"/>
        <n x="8"/>
        <n x="4"/>
        <n x="12" s="1"/>
      </t>
    </mdx>
    <mdx n="0" f="v">
      <t c="8">
        <n x="51"/>
        <n x="7"/>
        <n x="8"/>
        <n x="1"/>
        <n x="3" s="1"/>
        <n x="17"/>
        <n x="30"/>
        <n x="29"/>
      </t>
    </mdx>
    <mdx n="0" f="v">
      <t c="6">
        <n x="27" s="1"/>
        <n x="32"/>
        <n x="8"/>
        <n x="1"/>
        <n x="9"/>
        <n x="5"/>
      </t>
    </mdx>
    <mdx n="0" f="v">
      <t c="5">
        <n x="51"/>
        <n x="1"/>
        <n x="8"/>
        <n x="1"/>
        <n x="47" s="1"/>
      </t>
    </mdx>
    <mdx n="0" f="v">
      <t c="5">
        <n x="51"/>
        <n x="34"/>
        <n x="37"/>
        <n x="8"/>
        <n x="1"/>
      </t>
    </mdx>
    <mdx n="0" f="v">
      <t c="5">
        <n x="51"/>
        <n x="15"/>
        <n x="7"/>
        <n x="8"/>
        <n x="3" s="1"/>
      </t>
    </mdx>
    <mdx n="0" f="v">
      <t c="4">
        <n x="51"/>
        <n x="7"/>
        <n x="8"/>
        <n x="4"/>
      </t>
    </mdx>
    <mdx n="0" f="v">
      <t c="5">
        <n x="51"/>
        <n x="7"/>
        <n x="8"/>
        <n x="1"/>
        <n x="36" s="1"/>
      </t>
    </mdx>
    <mdx n="0" f="v">
      <t c="5">
        <n x="51"/>
        <n x="1"/>
        <n x="2"/>
        <n x="4"/>
        <n x="35"/>
      </t>
    </mdx>
    <mdx n="0" f="v">
      <t c="5">
        <n x="51"/>
        <n x="1"/>
        <n x="8"/>
        <n x="1"/>
        <n x="1"/>
      </t>
    </mdx>
    <mdx n="0" f="v">
      <t c="6">
        <n x="27" s="1"/>
        <n x="1"/>
        <n x="8"/>
        <n x="1"/>
        <n x="1"/>
        <n x="11"/>
      </t>
    </mdx>
    <mdx n="0" f="v">
      <t c="6">
        <n x="51"/>
        <n x="1"/>
        <n x="37"/>
        <n x="1"/>
        <n x="1"/>
        <n x="31" s="1"/>
      </t>
    </mdx>
    <mdx n="0" f="v">
      <t c="6">
        <n x="51"/>
        <n x="7"/>
        <n x="8"/>
        <n x="8"/>
        <n x="1"/>
        <n x="31" s="1"/>
      </t>
    </mdx>
    <mdx n="0" f="v">
      <t c="5">
        <n x="51"/>
        <n x="7"/>
        <n x="8"/>
        <n x="8"/>
        <n x="12" s="1"/>
      </t>
    </mdx>
    <mdx n="0" f="v">
      <t c="7">
        <n x="49" s="1"/>
        <n x="1"/>
        <n x="2"/>
        <n x="8"/>
        <n x="1"/>
        <n x="13"/>
        <n x="62"/>
      </t>
    </mdx>
    <mdx n="0" f="v">
      <t c="6">
        <n x="49" s="1"/>
        <n x="1"/>
        <n x="2"/>
        <n x="2"/>
        <n x="9"/>
        <n x="28" s="1"/>
      </t>
    </mdx>
    <mdx n="0" f="v">
      <t c="6">
        <n x="51"/>
        <n x="1"/>
        <n x="2"/>
        <n x="4"/>
        <n x="9"/>
        <n x="43"/>
      </t>
    </mdx>
    <mdx n="0" f="v">
      <t c="5">
        <n x="51"/>
        <n x="24"/>
        <n x="1"/>
        <n x="1"/>
        <n x="10" s="1"/>
      </t>
    </mdx>
    <mdx n="0" f="v">
      <t c="6">
        <n x="51"/>
        <n x="24"/>
        <n x="1"/>
        <n x="1"/>
        <n x="10" s="1"/>
        <n x="31" s="1"/>
      </t>
    </mdx>
    <mdx n="0" f="v">
      <t c="6">
        <n x="27" s="1"/>
        <n x="1"/>
        <n x="8"/>
        <n x="16"/>
        <n x="1"/>
        <n x="11"/>
      </t>
    </mdx>
    <mdx n="0" f="v">
      <t c="6">
        <n x="27" s="1"/>
        <n x="1"/>
        <n x="37"/>
        <n x="16"/>
        <n x="1"/>
        <n x="11"/>
      </t>
    </mdx>
    <mdx n="0" f="v">
      <t c="5">
        <n x="51"/>
        <n x="1"/>
        <n x="37"/>
        <n x="4"/>
        <n x="12" s="1"/>
      </t>
    </mdx>
    <mdx n="0" f="v">
      <t c="5">
        <n x="51"/>
        <n x="32"/>
        <n x="37"/>
        <n x="4"/>
        <n x="32"/>
      </t>
    </mdx>
    <mdx n="0" f="v">
      <t c="5">
        <n x="51"/>
        <n x="18" s="1"/>
        <n x="37"/>
        <n x="4"/>
        <n x="35"/>
      </t>
    </mdx>
    <mdx n="0" f="v">
      <t c="6">
        <n x="26"/>
        <n x="18" s="1"/>
        <n x="14"/>
        <n x="8"/>
        <n x="1"/>
        <n x="28" s="1"/>
      </t>
    </mdx>
    <mdx n="0" f="v">
      <t c="6">
        <n x="51"/>
        <n x="1"/>
        <n x="14"/>
        <n x="8"/>
        <n x="1"/>
        <n x="46" s="1"/>
      </t>
    </mdx>
    <mdx n="0" f="v">
      <t c="8">
        <n x="51"/>
        <n x="7"/>
        <n x="37"/>
        <n x="4"/>
        <n x="1"/>
        <n x="17"/>
        <n x="30"/>
        <n x="29"/>
      </t>
    </mdx>
    <mdx n="0" f="v">
      <t c="6">
        <n x="51"/>
        <n x="7"/>
        <n x="1"/>
        <n x="4"/>
        <n x="9"/>
        <n x="29"/>
      </t>
    </mdx>
    <mdx n="0" f="v">
      <t c="4">
        <n x="51"/>
        <n x="7"/>
        <n x="2"/>
        <n x="2"/>
      </t>
    </mdx>
    <mdx n="0" f="v">
      <t c="7">
        <n x="51"/>
        <n x="7"/>
        <n x="14"/>
        <n x="2"/>
        <n x="9"/>
        <n x="30"/>
        <n x="29"/>
      </t>
    </mdx>
    <mdx n="0" f="v">
      <t c="5">
        <n x="51"/>
        <n x="7"/>
        <n x="14"/>
        <n x="2"/>
        <n x="28" s="1"/>
      </t>
    </mdx>
    <mdx n="0" f="v">
      <t c="6">
        <n x="51"/>
        <n x="7"/>
        <n x="1"/>
        <n x="8"/>
        <n x="13"/>
        <n x="11"/>
      </t>
    </mdx>
    <mdx n="0" f="v">
      <t c="6">
        <n x="51"/>
        <n x="7"/>
        <n x="1"/>
        <n x="8"/>
        <n x="13"/>
        <n x="6"/>
      </t>
    </mdx>
    <mdx n="0" f="v">
      <t c="5">
        <n x="51"/>
        <n x="7"/>
        <n x="1"/>
        <n x="2"/>
        <n x="1"/>
      </t>
    </mdx>
    <mdx n="0" f="v">
      <t c="8">
        <n x="51"/>
        <n x="7"/>
        <n x="1"/>
        <n x="2"/>
        <n x="1"/>
        <n x="6"/>
        <n x="58"/>
        <n x="59"/>
      </t>
    </mdx>
    <mdx n="0" f="v">
      <t c="6">
        <n x="51"/>
        <n x="9"/>
        <n x="63" s="1"/>
        <n x="1"/>
        <n x="45"/>
        <n x="11"/>
      </t>
    </mdx>
    <mdx n="0" f="v">
      <t c="5">
        <n x="51"/>
        <n x="9"/>
        <n x="63" s="1"/>
        <n x="1"/>
        <n x="31" s="1"/>
      </t>
    </mdx>
    <mdx n="0" f="v">
      <t c="6">
        <n x="49" s="1"/>
        <n x="1"/>
        <n x="2"/>
        <n x="1"/>
        <n x="1"/>
        <n x="29"/>
      </t>
    </mdx>
    <mdx n="0" f="v">
      <t c="6">
        <n x="49" s="1"/>
        <n x="1"/>
        <n x="37"/>
        <n x="4"/>
        <n x="10" s="1"/>
        <n x="36" s="1"/>
      </t>
    </mdx>
    <mdx n="0" f="v">
      <t c="7">
        <n x="49" s="1"/>
        <n x="1"/>
        <n x="37"/>
        <n x="4"/>
        <n x="10" s="1"/>
        <n x="45"/>
        <n x="11"/>
      </t>
    </mdx>
    <mdx n="0" f="v">
      <t c="5">
        <n x="26"/>
        <n x="1"/>
        <n x="2"/>
        <n x="4"/>
        <n x="40" s="1"/>
      </t>
    </mdx>
    <mdx n="0" f="v">
      <t c="4">
        <n x="27" s="1"/>
        <n x="1"/>
        <n x="2"/>
        <n x="1"/>
      </t>
    </mdx>
    <mdx n="0" f="v">
      <t c="6">
        <n x="27" s="1"/>
        <n x="1"/>
        <n x="37"/>
        <n x="1"/>
        <n x="40" s="1"/>
        <n x="12" s="1"/>
      </t>
    </mdx>
    <mdx n="0" f="v">
      <t c="7">
        <n x="51"/>
        <n x="1"/>
        <n x="16"/>
        <n x="4"/>
        <n x="1"/>
        <n x="30"/>
        <n x="29"/>
      </t>
    </mdx>
    <mdx n="0" f="v">
      <t c="6">
        <n x="51"/>
        <n x="9"/>
        <n x="2"/>
        <n x="1"/>
        <n x="9"/>
        <n x="10" s="1"/>
      </t>
    </mdx>
    <mdx n="0" f="v">
      <t c="5">
        <n x="51"/>
        <n x="9"/>
        <n x="2"/>
        <n x="8"/>
        <n x="17"/>
      </t>
    </mdx>
    <mdx n="0" f="v">
      <t c="5">
        <n x="51"/>
        <n x="9"/>
        <n x="2"/>
        <n x="8"/>
        <n x="13"/>
      </t>
    </mdx>
    <mdx n="0" f="v">
      <t c="5">
        <n x="51"/>
        <n x="9"/>
        <n x="2"/>
        <n x="4"/>
        <n x="1"/>
      </t>
    </mdx>
    <mdx n="0" f="v">
      <t c="5">
        <n x="51"/>
        <n x="9"/>
        <n x="2"/>
        <n x="4"/>
        <n x="9"/>
      </t>
    </mdx>
    <mdx n="0" f="v">
      <t c="6">
        <n x="51"/>
        <n x="9"/>
        <n x="2"/>
        <n x="4"/>
        <n x="9"/>
        <n x="31" s="1"/>
      </t>
    </mdx>
    <mdx n="0" f="v">
      <t c="6">
        <n x="51"/>
        <n x="9"/>
        <n x="2"/>
        <n x="4"/>
        <n x="9"/>
        <n x="12" s="1"/>
      </t>
    </mdx>
    <mdx n="0" f="v">
      <t c="7">
        <n x="51"/>
        <n x="9"/>
        <n x="2"/>
        <n x="4"/>
        <n x="9"/>
        <n x="13"/>
        <n x="61"/>
      </t>
    </mdx>
    <mdx n="0" f="v">
      <t c="6">
        <n x="51"/>
        <n x="9"/>
        <n x="16"/>
        <n x="8"/>
        <n x="1"/>
        <n x="31" s="1"/>
      </t>
    </mdx>
    <mdx n="0" f="v">
      <t c="5">
        <n x="51"/>
        <n x="9"/>
        <n x="8"/>
        <n x="1"/>
        <n x="35"/>
      </t>
    </mdx>
    <mdx n="0" f="v">
      <t c="5">
        <n x="51"/>
        <n x="9"/>
        <n x="8"/>
        <n x="1"/>
        <n x="18" s="1"/>
      </t>
    </mdx>
    <mdx n="0" f="v">
      <t c="5">
        <n x="51"/>
        <n x="7"/>
        <n x="14"/>
        <n x="8"/>
        <n x="17"/>
      </t>
    </mdx>
    <mdx n="0" f="v">
      <t c="6">
        <n x="26"/>
        <n x="1"/>
        <n x="14"/>
        <n x="4"/>
        <n x="9"/>
        <n x="10" s="1"/>
      </t>
    </mdx>
    <mdx n="0" f="v">
      <t c="7">
        <n x="51"/>
        <n x="1"/>
        <n x="8"/>
        <n x="1"/>
        <n x="3" s="1"/>
        <n x="10" s="1"/>
        <n x="29"/>
      </t>
    </mdx>
    <mdx n="0" f="v">
      <t c="6">
        <n x="26"/>
        <n x="44" s="1"/>
        <n x="25"/>
        <n x="1"/>
        <n x="1"/>
        <n x="28" s="1"/>
      </t>
    </mdx>
    <mdx n="0" f="v">
      <t c="6">
        <n x="27" s="1"/>
        <n x="1"/>
        <n x="2"/>
        <n x="8"/>
        <n x="1"/>
        <n x="10" s="1"/>
      </t>
    </mdx>
    <mdx n="0" f="v">
      <t c="5">
        <n x="27" s="1"/>
        <n x="1"/>
        <n x="2"/>
        <n x="8"/>
        <n x="22"/>
      </t>
    </mdx>
    <mdx n="0" f="v">
      <t c="6">
        <n x="26"/>
        <n x="23"/>
        <n x="37"/>
        <n x="4"/>
        <n x="9"/>
        <n x="10" s="1"/>
      </t>
    </mdx>
    <mdx n="0" f="v">
      <t c="6">
        <n x="26"/>
        <n x="23"/>
        <n x="7"/>
        <n x="4"/>
        <n x="9"/>
        <n x="28" s="1"/>
      </t>
    </mdx>
    <mdx n="0" f="v">
      <t c="5">
        <n x="26"/>
        <n x="1"/>
        <n x="8"/>
        <n x="8"/>
        <n x="1"/>
      </t>
    </mdx>
    <mdx n="0" f="v">
      <t c="7">
        <n x="26"/>
        <n x="7"/>
        <n x="8"/>
        <n x="1"/>
        <n x="5"/>
        <n x="6"/>
        <n x="29"/>
      </t>
    </mdx>
    <mdx n="0" f="v">
      <t c="6">
        <n x="51"/>
        <n x="50"/>
        <n x="14"/>
        <n x="1"/>
        <n x="1"/>
        <n x="36" s="1"/>
      </t>
    </mdx>
    <mdx n="0" f="v">
      <t c="5">
        <n x="27" s="1"/>
        <n x="44" s="1"/>
        <n x="14"/>
        <n x="4"/>
        <n x="31" s="1"/>
      </t>
    </mdx>
    <mdx n="0" f="v">
      <t c="5">
        <n x="51"/>
        <n x="44" s="1"/>
        <n x="37"/>
        <n x="16"/>
        <n x="31" s="1"/>
      </t>
    </mdx>
    <mdx n="0" f="v">
      <t c="6">
        <n x="51"/>
        <n x="44" s="1"/>
        <n x="37"/>
        <n x="1"/>
        <n x="35"/>
        <n x="17"/>
      </t>
    </mdx>
    <mdx n="0" f="v">
      <t c="5">
        <n x="51"/>
        <n x="44" s="1"/>
        <n x="37"/>
        <n x="1"/>
        <n x="35"/>
      </t>
    </mdx>
    <mdx n="0" f="v">
      <t c="6">
        <n x="49" s="1"/>
        <n x="7"/>
        <n x="8"/>
        <n x="4"/>
        <n x="5"/>
        <n x="6"/>
      </t>
    </mdx>
    <mdx n="0" f="v">
      <t c="5">
        <n x="49" s="1"/>
        <n x="7"/>
        <n x="8"/>
        <n x="1"/>
        <n x="31" s="1"/>
      </t>
    </mdx>
    <mdx n="0" f="v">
      <t c="6">
        <n x="49" s="1"/>
        <n x="7"/>
        <n x="8"/>
        <n x="1"/>
        <n x="31" s="1"/>
        <n x="36" s="1"/>
      </t>
    </mdx>
    <mdx n="0" f="v">
      <t c="5">
        <n x="49" s="1"/>
        <n x="1"/>
        <n x="37"/>
        <n x="1"/>
        <n x="5"/>
      </t>
    </mdx>
    <mdx n="0" f="v">
      <t c="5">
        <n x="49" s="1"/>
        <n x="1"/>
        <n x="37"/>
        <n x="4"/>
        <n x="5"/>
      </t>
    </mdx>
    <mdx n="0" f="v">
      <t c="5">
        <n x="49" s="1"/>
        <n x="1"/>
        <n x="37"/>
        <n x="4"/>
        <n x="10" s="1"/>
      </t>
    </mdx>
    <mdx n="0" f="v">
      <t c="5">
        <n x="49" s="1"/>
        <n x="1"/>
        <n x="37"/>
        <n x="4"/>
        <n x="22"/>
      </t>
    </mdx>
    <mdx n="0" f="v">
      <t c="5">
        <n x="51"/>
        <n x="1"/>
        <n x="8"/>
        <n x="1"/>
        <n x="23"/>
      </t>
    </mdx>
    <mdx n="0" f="v">
      <t c="6">
        <n x="51"/>
        <n x="1"/>
        <n x="8"/>
        <n x="1"/>
        <n x="23"/>
        <n x="30"/>
      </t>
    </mdx>
    <mdx n="0" f="v">
      <t c="5">
        <n x="51"/>
        <n x="1"/>
        <n x="8"/>
        <n x="1"/>
        <n x="18" s="1"/>
      </t>
    </mdx>
    <mdx n="0" f="v">
      <t c="7">
        <n x="51"/>
        <n x="24"/>
        <n x="8"/>
        <n x="1"/>
        <n x="18" s="1"/>
        <n x="5"/>
        <n x="6"/>
      </t>
    </mdx>
    <mdx n="0" f="v">
      <t c="5">
        <n x="51"/>
        <n x="24"/>
        <n x="1"/>
        <n x="8"/>
        <n x="10" s="1"/>
      </t>
    </mdx>
    <mdx n="0" f="v">
      <t c="5">
        <n x="51"/>
        <n x="24"/>
        <n x="1"/>
        <n x="4"/>
        <n x="10" s="1"/>
      </t>
    </mdx>
    <mdx n="0" f="v">
      <t c="5">
        <n x="51"/>
        <n x="24"/>
        <n x="1"/>
        <n x="4"/>
        <n x="9"/>
      </t>
    </mdx>
    <mdx n="0" f="v">
      <t c="6">
        <n x="51"/>
        <n x="24"/>
        <n x="1"/>
        <n x="4"/>
        <n x="9"/>
        <n x="28" s="1"/>
      </t>
    </mdx>
    <mdx n="0" f="v">
      <t c="7">
        <n x="26"/>
        <n x="1"/>
        <n x="37"/>
        <n x="4"/>
        <n x="32"/>
        <n x="30"/>
        <n x="29"/>
      </t>
    </mdx>
    <mdx n="0" f="v">
      <t c="4">
        <n x="26"/>
        <n x="1"/>
        <n x="2"/>
        <n x="4"/>
      </t>
    </mdx>
    <mdx n="0" f="v">
      <t c="5">
        <n x="26"/>
        <n x="1"/>
        <n x="2"/>
        <n x="4"/>
        <n x="3" s="1"/>
      </t>
    </mdx>
    <mdx n="0" f="v">
      <t c="6">
        <n x="26"/>
        <n x="1"/>
        <n x="37"/>
        <n x="4"/>
        <n x="9"/>
        <n x="10" s="1"/>
      </t>
    </mdx>
    <mdx n="0" f="v">
      <t c="5">
        <n x="26"/>
        <n x="50"/>
        <n x="7"/>
        <n x="4"/>
        <n x="35"/>
      </t>
    </mdx>
    <mdx n="0" f="v">
      <t c="5">
        <n x="26"/>
        <n x="1"/>
        <n x="2"/>
        <n x="8"/>
        <n x="10" s="1"/>
      </t>
    </mdx>
    <mdx n="0" f="v">
      <t c="5">
        <n x="26"/>
        <n x="1"/>
        <n x="2"/>
        <n x="4"/>
        <n x="9"/>
      </t>
    </mdx>
    <mdx n="0" f="v">
      <t c="6">
        <n x="27" s="1"/>
        <n x="1"/>
        <n x="2"/>
        <n x="4"/>
        <n x="9"/>
        <n x="12" s="1"/>
      </t>
    </mdx>
    <mdx n="0" f="v">
      <t c="5">
        <n x="26"/>
        <n x="1"/>
        <n x="37"/>
        <n x="4"/>
        <n x="12" s="1"/>
      </t>
    </mdx>
    <mdx n="0" f="v">
      <t c="5">
        <n x="26"/>
        <n x="52"/>
        <n x="37"/>
        <n x="4"/>
        <n x="17"/>
      </t>
    </mdx>
    <mdx n="0" f="v">
      <t c="5">
        <n x="26"/>
        <n x="22"/>
        <n x="37"/>
        <n x="4"/>
        <n x="31" s="1"/>
      </t>
    </mdx>
    <mdx n="0" f="v">
      <t c="5">
        <n x="26"/>
        <n x="15"/>
        <n x="37"/>
        <n x="4"/>
        <n x="31" s="1"/>
      </t>
    </mdx>
    <mdx n="0" f="v">
      <t c="6">
        <n x="26"/>
        <n x="23"/>
        <n x="8"/>
        <n x="4"/>
        <n x="9"/>
        <n x="28" s="1"/>
      </t>
    </mdx>
    <mdx n="0" f="v">
      <t c="6">
        <n x="26"/>
        <n x="23"/>
        <n x="7"/>
        <n x="4"/>
        <n x="9"/>
        <n x="31" s="1"/>
      </t>
    </mdx>
    <mdx n="0" f="v">
      <t c="4">
        <n x="26"/>
        <n x="1"/>
        <n x="2"/>
        <n x="8"/>
      </t>
    </mdx>
    <mdx n="0" f="v">
      <t c="5">
        <n x="26"/>
        <n x="1"/>
        <n x="2"/>
        <n x="4"/>
        <n x="1"/>
      </t>
    </mdx>
    <mdx n="0" f="v">
      <t c="6">
        <n x="26"/>
        <n x="14"/>
        <n x="37"/>
        <n x="4"/>
        <n x="9"/>
        <n x="31" s="1"/>
      </t>
    </mdx>
    <mdx n="0" f="v">
      <t c="5">
        <n x="26"/>
        <n x="1"/>
        <n x="2"/>
        <n x="4"/>
        <n x="9"/>
      </t>
    </mdx>
    <mdx n="0" f="v">
      <t c="5">
        <n x="26"/>
        <n x="1"/>
        <n x="2"/>
        <n x="1"/>
        <n x="10" s="1"/>
      </t>
    </mdx>
    <mdx n="0" f="v">
      <t c="6">
        <n x="26"/>
        <n x="48"/>
        <n x="16"/>
        <n x="1"/>
        <n x="17"/>
        <n x="36" s="1"/>
      </t>
    </mdx>
    <mdx n="0" f="v">
      <t c="5">
        <n x="26"/>
        <n x="48"/>
        <n x="16"/>
        <n x="4"/>
        <n x="22"/>
      </t>
    </mdx>
    <mdx n="0" f="v">
      <t c="5">
        <n x="26"/>
        <n x="48"/>
        <n x="16"/>
        <n x="4"/>
        <n x="22"/>
      </t>
    </mdx>
    <mdx n="0" f="v">
      <t c="6">
        <n x="26"/>
        <n x="1"/>
        <n x="2"/>
        <n x="1"/>
        <n x="9"/>
        <n x="10" s="1"/>
      </t>
    </mdx>
    <mdx n="0" f="v">
      <t c="5">
        <n x="26"/>
        <n x="1"/>
        <n x="2"/>
        <n x="1"/>
        <n x="18" s="1"/>
      </t>
    </mdx>
    <mdx n="0" f="v">
      <t c="5">
        <n x="26"/>
        <n x="1"/>
        <n x="2"/>
        <n x="1"/>
        <n x="18" s="1"/>
      </t>
    </mdx>
    <mdx n="0" f="v">
      <t c="6">
        <n x="26"/>
        <n x="1"/>
        <n x="2"/>
        <n x="1"/>
        <n x="18" s="1"/>
        <n x="10" s="1"/>
      </t>
    </mdx>
    <mdx n="0" f="v">
      <t c="5">
        <n x="26"/>
        <n x="1"/>
        <n x="8"/>
        <n x="1"/>
        <n x="28" s="1"/>
      </t>
    </mdx>
    <mdx n="0" f="v">
      <t c="5">
        <n x="26"/>
        <n x="7"/>
        <n x="2"/>
        <n x="4"/>
        <n x="30"/>
      </t>
    </mdx>
    <mdx n="0" f="v">
      <t c="6">
        <n x="26"/>
        <n x="7"/>
        <n x="2"/>
        <n x="4"/>
        <n x="30"/>
        <n x="29"/>
      </t>
    </mdx>
    <mdx n="0" f="v">
      <t c="6">
        <n x="26"/>
        <n x="1"/>
        <n x="8"/>
        <n x="1"/>
        <n x="13"/>
        <n x="10" s="1"/>
      </t>
    </mdx>
    <mdx n="0" f="v">
      <t c="6">
        <n x="26"/>
        <n x="1"/>
        <n x="8"/>
        <n x="1"/>
        <n x="10" s="1"/>
        <n x="33"/>
      </t>
    </mdx>
    <mdx n="0" f="v">
      <t c="5">
        <n x="26"/>
        <n x="7"/>
        <n x="8"/>
        <n x="1"/>
        <n x="10" s="1"/>
      </t>
    </mdx>
    <mdx n="0" f="v">
      <t c="5">
        <n x="26"/>
        <n x="1"/>
        <n x="8"/>
        <n x="8"/>
        <n x="12" s="1"/>
      </t>
    </mdx>
    <mdx n="0" f="v">
      <t c="6">
        <n x="26"/>
        <n x="1"/>
        <n x="8"/>
        <n x="1"/>
        <n x="12" s="1"/>
        <n x="21"/>
      </t>
    </mdx>
    <mdx n="0" f="v">
      <t c="6">
        <n x="26"/>
        <n x="1"/>
        <n x="8"/>
        <n x="1"/>
        <n x="12" s="1"/>
        <n x="6"/>
      </t>
    </mdx>
    <mdx n="0" f="v">
      <t c="6">
        <n x="26"/>
        <n x="1"/>
        <n x="7"/>
        <n x="8"/>
        <n x="28" s="1"/>
        <n x="11"/>
      </t>
    </mdx>
    <mdx n="0" f="v">
      <t c="5">
        <n x="26"/>
        <n x="1"/>
        <n x="8"/>
        <n x="1"/>
        <n x="31" s="1"/>
      </t>
    </mdx>
    <mdx n="0" f="v">
      <t c="5">
        <n x="51"/>
        <n x="1"/>
        <n x="1"/>
        <n x="4"/>
        <n x="10" s="1"/>
      </t>
    </mdx>
    <mdx n="0" f="v">
      <t c="5">
        <n x="49" s="1"/>
        <n x="15"/>
        <n x="8"/>
        <n x="1"/>
        <n x="31" s="1"/>
      </t>
    </mdx>
    <mdx n="0" f="v">
      <t c="6">
        <n x="49" s="1"/>
        <n x="1"/>
        <n x="8"/>
        <n x="2"/>
        <n x="45"/>
        <n x="29"/>
      </t>
    </mdx>
    <mdx n="0" f="v">
      <t c="5">
        <n x="49" s="1"/>
        <n x="1"/>
        <n x="25"/>
        <n x="16"/>
        <n x="1"/>
      </t>
    </mdx>
    <mdx n="0" f="v">
      <t c="7">
        <n x="49" s="1"/>
        <n x="1"/>
        <n x="37"/>
        <n x="16"/>
        <n x="1"/>
        <n x="11"/>
        <n x="29"/>
      </t>
    </mdx>
    <mdx n="0" f="v">
      <t c="6">
        <n x="49" s="1"/>
        <n x="1"/>
        <n x="37"/>
        <n x="4"/>
        <n x="1"/>
        <n x="11"/>
      </t>
    </mdx>
    <mdx n="0" f="v">
      <t c="5">
        <n x="49" s="1"/>
        <n x="1"/>
        <n x="37"/>
        <n x="4"/>
        <n x="9"/>
      </t>
    </mdx>
    <mdx n="0" f="v">
      <t c="6">
        <n x="49" s="1"/>
        <n x="1"/>
        <n x="37"/>
        <n x="4"/>
        <n x="9"/>
        <n x="12" s="1"/>
      </t>
    </mdx>
    <mdx n="0" f="v">
      <t c="6">
        <n x="49" s="1"/>
        <n x="1"/>
        <n x="37"/>
        <n x="4"/>
        <n x="9"/>
        <n x="12" s="1"/>
      </t>
    </mdx>
    <mdx n="0" f="v">
      <t c="5">
        <n x="49" s="1"/>
        <n x="1"/>
        <n x="37"/>
        <n x="4"/>
        <n x="9"/>
      </t>
    </mdx>
    <mdx n="0" f="v">
      <t c="8">
        <n x="51"/>
        <n x="7"/>
        <n x="8"/>
        <n x="8"/>
        <n x="1"/>
        <n x="17"/>
        <n x="30"/>
        <n x="43"/>
      </t>
    </mdx>
    <mdx n="0" f="v">
      <t c="8">
        <n x="51"/>
        <n x="7"/>
        <n x="8"/>
        <n x="8"/>
        <n x="1"/>
        <n x="17"/>
        <n x="30"/>
        <n x="29"/>
      </t>
    </mdx>
    <mdx n="0" f="v">
      <t c="7">
        <n x="51"/>
        <n x="7"/>
        <n x="8"/>
        <n x="1"/>
        <n x="9"/>
        <n x="13"/>
        <n x="61"/>
      </t>
    </mdx>
    <mdx n="0" f="v">
      <t c="5">
        <n x="51"/>
        <n x="7"/>
        <n x="8"/>
        <n x="4"/>
        <n x="9"/>
      </t>
    </mdx>
    <mdx n="0" f="v">
      <t c="6">
        <n x="51"/>
        <n x="44" s="1"/>
        <n x="8"/>
        <n x="16"/>
        <n x="40" s="1"/>
        <n x="17"/>
      </t>
    </mdx>
    <mdx n="0" f="v">
      <t c="5">
        <n x="51"/>
        <n x="44" s="1"/>
        <n x="25"/>
        <n x="16"/>
        <n x="40" s="1"/>
      </t>
    </mdx>
    <mdx n="0" f="v">
      <t c="6">
        <n x="51"/>
        <n x="7"/>
        <n x="8"/>
        <n x="16"/>
        <n x="40" s="1"/>
        <n x="6"/>
      </t>
    </mdx>
    <mdx n="0" f="v">
      <t c="4">
        <n x="51"/>
        <n x="25"/>
        <n x="8"/>
        <n x="1"/>
      </t>
    </mdx>
    <mdx n="0" f="v">
      <t c="5">
        <n x="51"/>
        <n x="25"/>
        <n x="8"/>
        <n x="1"/>
        <n x="35"/>
      </t>
    </mdx>
    <mdx n="0" f="v">
      <t c="5">
        <n x="51"/>
        <n x="34"/>
        <n x="8"/>
        <n x="1"/>
        <n x="18" s="1"/>
      </t>
    </mdx>
    <mdx n="0" f="v">
      <t c="8">
        <n x="51"/>
        <n x="41" s="1"/>
        <n x="8"/>
        <n x="1"/>
        <n x="18" s="1"/>
        <n x="17"/>
        <n x="30"/>
        <n x="29"/>
      </t>
    </mdx>
    <mdx n="0" f="v">
      <t c="8">
        <n x="51"/>
        <n x="7"/>
        <n x="8"/>
        <n x="1"/>
        <n x="1"/>
        <n x="5"/>
        <n x="58"/>
        <n x="60"/>
      </t>
    </mdx>
    <mdx n="0" f="v">
      <t c="6">
        <n x="51"/>
        <n x="7"/>
        <n x="8"/>
        <n x="1"/>
        <n x="9"/>
        <n x="17"/>
      </t>
    </mdx>
    <mdx n="0" f="v">
      <t c="5">
        <n x="51"/>
        <n x="7"/>
        <n x="8"/>
        <n x="1"/>
        <n x="9"/>
      </t>
    </mdx>
    <mdx n="0" f="v">
      <t c="6">
        <n x="51"/>
        <n x="7"/>
        <n x="8"/>
        <n x="1"/>
        <n x="9"/>
        <n x="17"/>
      </t>
    </mdx>
    <mdx n="0" f="v">
      <t c="6">
        <n x="51"/>
        <n x="24"/>
        <n x="1"/>
        <n x="8"/>
        <n x="3" s="1"/>
        <n x="61"/>
      </t>
    </mdx>
    <mdx n="0" f="v">
      <t c="5">
        <n x="51"/>
        <n x="9"/>
        <n x="14"/>
        <n x="8"/>
        <n x="10" s="1"/>
      </t>
    </mdx>
    <mdx n="0" f="v">
      <t c="7">
        <n x="51"/>
        <n x="9"/>
        <n x="14"/>
        <n x="8"/>
        <n x="1"/>
        <n x="13"/>
        <n x="62"/>
      </t>
    </mdx>
    <mdx n="0" f="v">
      <t c="5">
        <n x="51"/>
        <n x="7"/>
        <n x="8"/>
        <n x="1"/>
        <n x="3" s="1"/>
      </t>
    </mdx>
    <mdx n="0" f="v">
      <t c="5">
        <n x="51"/>
        <n x="1"/>
        <n x="14"/>
        <n x="8"/>
        <n x="1"/>
      </t>
    </mdx>
    <mdx n="0" f="v">
      <t c="6">
        <n x="51"/>
        <n x="24"/>
        <n x="1"/>
        <n x="4"/>
        <n x="1"/>
        <n x="10" s="1"/>
      </t>
    </mdx>
    <mdx n="0" f="v">
      <t c="7">
        <n x="51"/>
        <n x="24"/>
        <n x="1"/>
        <n x="1"/>
        <n x="45"/>
        <n x="30"/>
        <n x="29"/>
      </t>
    </mdx>
    <mdx n="0" f="v">
      <t c="6">
        <n x="51"/>
        <n x="42" s="1"/>
        <n x="14"/>
        <n x="1"/>
        <n x="5"/>
        <n x="3" s="1"/>
      </t>
    </mdx>
    <mdx n="0" f="v">
      <t c="6">
        <n x="51"/>
        <n x="24"/>
        <n x="7"/>
        <n x="8"/>
        <n x="1"/>
        <n x="6"/>
      </t>
    </mdx>
    <mdx n="0" f="v">
      <t c="5">
        <n x="51"/>
        <n x="24"/>
        <n x="7"/>
        <n x="8"/>
        <n x="45"/>
      </t>
    </mdx>
    <mdx n="0" f="v">
      <t c="5">
        <n x="51"/>
        <n x="24"/>
        <n x="1"/>
        <n x="8"/>
        <n x="45"/>
      </t>
    </mdx>
    <mdx n="0" f="v">
      <t c="6">
        <n x="51"/>
        <n x="42" s="1"/>
        <n x="7"/>
        <n x="8"/>
        <n x="13"/>
        <n x="43"/>
      </t>
    </mdx>
    <mdx n="0" f="v">
      <t c="7">
        <n x="51"/>
        <n x="24"/>
        <n x="7"/>
        <n x="1"/>
        <n x="55"/>
        <n x="30"/>
        <n x="11"/>
      </t>
    </mdx>
    <mdx n="0" f="v">
      <t c="7">
        <n x="51"/>
        <n x="24"/>
        <n x="7"/>
        <n x="1"/>
        <n x="55"/>
        <n x="30"/>
        <n x="29"/>
      </t>
    </mdx>
    <mdx n="0" f="v">
      <t c="5">
        <n x="51"/>
        <n x="24"/>
        <n x="7"/>
        <n x="8"/>
        <n x="12" s="1"/>
      </t>
    </mdx>
    <mdx n="0" f="v">
      <t c="6">
        <n x="51"/>
        <n x="7"/>
        <n x="7"/>
        <n x="8"/>
        <n x="12" s="1"/>
        <n x="5"/>
      </t>
    </mdx>
    <mdx n="0" f="v">
      <t c="5">
        <n x="51"/>
        <n x="9"/>
        <n x="7"/>
        <n x="8"/>
        <n x="1"/>
      </t>
    </mdx>
    <mdx n="0" f="v">
      <t c="7">
        <n x="51"/>
        <n x="9"/>
        <n x="7"/>
        <n x="8"/>
        <n x="1"/>
        <n x="30"/>
        <n x="29"/>
      </t>
    </mdx>
    <mdx n="0" f="v">
      <t c="6">
        <n x="51"/>
        <n x="14"/>
        <n x="8"/>
        <n x="1"/>
        <n x="8"/>
        <n x="29"/>
      </t>
    </mdx>
    <mdx n="0" f="v">
      <t c="7">
        <n x="51"/>
        <n x="14"/>
        <n x="8"/>
        <n x="1"/>
        <n x="30"/>
        <n x="29"/>
        <n x="43"/>
      </t>
    </mdx>
    <mdx n="0" f="v">
      <t c="6">
        <n x="51"/>
        <n x="7"/>
        <n x="8"/>
        <n x="1"/>
        <n x="1"/>
        <n x="29"/>
      </t>
    </mdx>
    <mdx n="0" f="v">
      <t c="6">
        <n x="51"/>
        <n x="7"/>
        <n x="8"/>
        <n x="1"/>
        <n x="10" s="1"/>
        <n x="45"/>
      </t>
    </mdx>
    <mdx n="0" f="v">
      <t c="7">
        <n x="51"/>
        <n x="7"/>
        <n x="8"/>
        <n x="1"/>
        <n x="10" s="1"/>
        <n x="45"/>
        <n x="11"/>
      </t>
    </mdx>
    <mdx n="0" f="v">
      <t c="6">
        <n x="51"/>
        <n x="42" s="1"/>
        <n x="7"/>
        <n x="1"/>
        <n x="1"/>
        <n x="28" s="1"/>
      </t>
    </mdx>
    <mdx n="0" f="v">
      <t c="5">
        <n x="51"/>
        <n x="18" s="1"/>
        <n x="14"/>
        <n x="1"/>
        <n x="28" s="1"/>
      </t>
    </mdx>
    <mdx n="0" f="v">
      <t c="6">
        <n x="51"/>
        <n x="9"/>
        <n x="14"/>
        <n x="8"/>
        <n x="1"/>
        <n x="46" s="1"/>
      </t>
    </mdx>
    <mdx n="0" f="v">
      <t c="6">
        <n x="51"/>
        <n x="23"/>
        <n x="7"/>
        <n x="8"/>
        <n x="1"/>
        <n x="31" s="1"/>
      </t>
    </mdx>
    <mdx n="0" f="v">
      <t c="6">
        <n x="51"/>
        <n x="23"/>
        <n x="7"/>
        <n x="8"/>
        <n x="36" s="1"/>
        <n x="31" s="1"/>
      </t>
    </mdx>
    <mdx n="0" f="v">
      <t c="5">
        <n x="27" s="1"/>
        <n x="1"/>
        <n x="37"/>
        <n x="4"/>
        <n x="1"/>
      </t>
    </mdx>
  </mdxMetadata>
  <valueMetadata count="36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3"/>
    </bk>
    <bk>
      <rc t="1" v="172"/>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1"/>
    </bk>
    <bk>
      <rc t="1" v="292"/>
    </bk>
    <bk>
      <rc t="1" v="290"/>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7"/>
    </bk>
    <bk>
      <rc t="1" v="316"/>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valueMetadata>
</metadata>
</file>

<file path=xl/sharedStrings.xml><?xml version="1.0" encoding="utf-8"?>
<sst xmlns="http://schemas.openxmlformats.org/spreadsheetml/2006/main" count="524" uniqueCount="214">
  <si>
    <t xml:space="preserve"> </t>
  </si>
  <si>
    <t>Cur_Period:</t>
  </si>
  <si>
    <t>Cur_Year:</t>
  </si>
  <si>
    <t>EN</t>
  </si>
  <si>
    <t>draft?</t>
  </si>
  <si>
    <t>Pre_Period:</t>
  </si>
  <si>
    <t>REV PREV. YEAR</t>
  </si>
  <si>
    <t>TEXT CHECKS</t>
  </si>
  <si>
    <t>YTD</t>
  </si>
  <si>
    <t>MW</t>
  </si>
  <si>
    <t>GW</t>
  </si>
  <si>
    <t>TWh</t>
  </si>
  <si>
    <t>%</t>
  </si>
  <si>
    <t>YoY</t>
  </si>
  <si>
    <t>Installed capacity</t>
  </si>
  <si>
    <t>Europe</t>
  </si>
  <si>
    <t>North America</t>
  </si>
  <si>
    <t>S America</t>
  </si>
  <si>
    <t>APAC</t>
  </si>
  <si>
    <t>Capacity Additions</t>
  </si>
  <si>
    <t>AR</t>
  </si>
  <si>
    <t>Capacity U/C</t>
  </si>
  <si>
    <t>Onshore Wind</t>
  </si>
  <si>
    <t>Solar Utility Scale</t>
  </si>
  <si>
    <t>Solar DG</t>
  </si>
  <si>
    <t>Storage</t>
  </si>
  <si>
    <t>Offshore Wind</t>
  </si>
  <si>
    <t>Generation</t>
  </si>
  <si>
    <t>Load Factor</t>
  </si>
  <si>
    <t>Renexable Index</t>
  </si>
  <si>
    <t>Solar</t>
  </si>
  <si>
    <t>GROSS Offshore Wind</t>
  </si>
  <si>
    <t>EDPR</t>
  </si>
  <si>
    <t>U/C Added in period</t>
  </si>
  <si>
    <t>Avg. MW in Operation</t>
  </si>
  <si>
    <t>GWh</t>
  </si>
  <si>
    <t>% Weight solar in Additions</t>
  </si>
  <si>
    <t>inc. Storage</t>
  </si>
  <si>
    <t>EDPR - Installed EBITDA + Equity MW</t>
  </si>
  <si>
    <t>Wind Onshore</t>
  </si>
  <si>
    <t>Wind Offshore</t>
  </si>
  <si>
    <t>South America</t>
  </si>
  <si>
    <t>NCF (%)</t>
  </si>
  <si>
    <t>Only APAC</t>
  </si>
  <si>
    <t>ex DG</t>
  </si>
  <si>
    <t>(%)</t>
  </si>
  <si>
    <t>DG + Utility</t>
  </si>
  <si>
    <t>BACK UP CHECKS</t>
  </si>
  <si>
    <t>Backup</t>
  </si>
  <si>
    <t>CHECK</t>
  </si>
  <si>
    <t>FY24</t>
  </si>
  <si>
    <t>Rest of South America</t>
  </si>
  <si>
    <t>EBITDA + Equity MW</t>
  </si>
  <si>
    <t>Rest of APAC</t>
  </si>
  <si>
    <t>Singapore</t>
  </si>
  <si>
    <t>PT</t>
  </si>
  <si>
    <t>GCF</t>
  </si>
  <si>
    <t>Update</t>
  </si>
  <si>
    <t>na</t>
  </si>
  <si>
    <t>GCF APAC only considers a small amount of projects so it is disregarded</t>
  </si>
  <si>
    <t>GCF graph</t>
  </si>
  <si>
    <t>Geo</t>
  </si>
  <si>
    <t>Europa</t>
  </si>
  <si>
    <t>América do N.</t>
  </si>
  <si>
    <t>América do S.</t>
  </si>
  <si>
    <t>Technology</t>
  </si>
  <si>
    <t>Eólico Onshore</t>
  </si>
  <si>
    <t>Solar Centralizado</t>
  </si>
  <si>
    <t>Tec</t>
  </si>
  <si>
    <t>Eólico Offshore</t>
  </si>
  <si>
    <t>Baterias</t>
  </si>
  <si>
    <t>NCF</t>
  </si>
  <si>
    <t>Capacity + Equt. YoY</t>
  </si>
  <si>
    <t>Titles</t>
  </si>
  <si>
    <t>vs. dez-24</t>
  </si>
  <si>
    <t>Page 1 Segments</t>
  </si>
  <si>
    <t>Key Highlights</t>
  </si>
  <si>
    <t>Principais Destaques</t>
  </si>
  <si>
    <t>Installed Capacity</t>
  </si>
  <si>
    <t>Capacidade Instalada</t>
  </si>
  <si>
    <t>Installed Capacity by Region</t>
  </si>
  <si>
    <t>Capacidade Instalada por Região</t>
  </si>
  <si>
    <t>Electricity Generation</t>
  </si>
  <si>
    <t>Produção de Eletricidade</t>
  </si>
  <si>
    <t>Generation by Region and Technology</t>
  </si>
  <si>
    <t>Produção por Região e Tecnologia</t>
  </si>
  <si>
    <t>Fator de Utilização</t>
  </si>
  <si>
    <t>vs. P50 GCF (%)</t>
  </si>
  <si>
    <t>Renewables Index (vs. P50 Gross Capacity Factor)</t>
  </si>
  <si>
    <t>Índ. Renov. (vs. P50 Fator de Utilização Bruto)</t>
  </si>
  <si>
    <t>Page 2 Segments</t>
  </si>
  <si>
    <t>Installed Capacity by Technology</t>
  </si>
  <si>
    <t>Capacidade Instalada por Tecnologia</t>
  </si>
  <si>
    <t>Capacity Additions YTD</t>
  </si>
  <si>
    <t>Adições de Capacidade YTD</t>
  </si>
  <si>
    <t>Onshore Wind Additions YTD</t>
  </si>
  <si>
    <t>Adições de Eólico Onshore YTD</t>
  </si>
  <si>
    <t>Solar Additions YTD</t>
  </si>
  <si>
    <t>Adições de Solar YTD</t>
  </si>
  <si>
    <t>Offshore Wind Additions YTD</t>
  </si>
  <si>
    <t>Adições de Eólico Offshore YTD</t>
  </si>
  <si>
    <t>Offshore Wind Gross Additions YTD</t>
  </si>
  <si>
    <t>Adições Brutas de Eólico Offshore YTD</t>
  </si>
  <si>
    <t>Tech</t>
  </si>
  <si>
    <t>Tecnologia</t>
  </si>
  <si>
    <t>Spain</t>
  </si>
  <si>
    <t>Espanha</t>
  </si>
  <si>
    <t>Portugal</t>
  </si>
  <si>
    <t>Rest of Europe</t>
  </si>
  <si>
    <t>Resto da Europa</t>
  </si>
  <si>
    <t>France &amp; Belgium</t>
  </si>
  <si>
    <t>França e Bélgica</t>
  </si>
  <si>
    <t>United Kingdom</t>
  </si>
  <si>
    <t>Reino Unido</t>
  </si>
  <si>
    <t>América do Norte</t>
  </si>
  <si>
    <t>US</t>
  </si>
  <si>
    <t>EUA</t>
  </si>
  <si>
    <t>Canada</t>
  </si>
  <si>
    <t>Canadá</t>
  </si>
  <si>
    <t>Mexico</t>
  </si>
  <si>
    <t>México</t>
  </si>
  <si>
    <t>Canada &amp; Mexico</t>
  </si>
  <si>
    <t>Canadá e México</t>
  </si>
  <si>
    <t>US &amp; Canada</t>
  </si>
  <si>
    <t>EUA e Canadá</t>
  </si>
  <si>
    <t>América do Sul</t>
  </si>
  <si>
    <t>Brazil</t>
  </si>
  <si>
    <t>Brasil</t>
  </si>
  <si>
    <t>Brazil &amp; Chile</t>
  </si>
  <si>
    <t>Brasil e Chile</t>
  </si>
  <si>
    <t>Colombia</t>
  </si>
  <si>
    <t>Colômbia</t>
  </si>
  <si>
    <t>Chile</t>
  </si>
  <si>
    <t>Colombia &amp; Chile</t>
  </si>
  <si>
    <t>Colômbia e Chile</t>
  </si>
  <si>
    <t>Vietnam</t>
  </si>
  <si>
    <t>Vietname</t>
  </si>
  <si>
    <t>Singapura</t>
  </si>
  <si>
    <t>Resto de APAC</t>
  </si>
  <si>
    <t>EU</t>
  </si>
  <si>
    <t>N. America</t>
  </si>
  <si>
    <t>S. America</t>
  </si>
  <si>
    <t>Project</t>
  </si>
  <si>
    <t>Projeto</t>
  </si>
  <si>
    <t>Country</t>
  </si>
  <si>
    <t>País</t>
  </si>
  <si>
    <t>Capacity</t>
  </si>
  <si>
    <t>EBITDA MW</t>
  </si>
  <si>
    <t>Eq. Consolidated</t>
  </si>
  <si>
    <t>Equiv. Patrimonial</t>
  </si>
  <si>
    <t>EDPR Eq. Consolidated</t>
  </si>
  <si>
    <t>Equiv. Patrimonial EDPR</t>
  </si>
  <si>
    <t>EBITDA + Eq. MW</t>
  </si>
  <si>
    <t>Ocean Winds Gross Capacity</t>
  </si>
  <si>
    <t>Capacidade Total Bruta OW</t>
  </si>
  <si>
    <t>Total Capacity</t>
  </si>
  <si>
    <t>Capacidade Total</t>
  </si>
  <si>
    <t>Additions</t>
  </si>
  <si>
    <t>Adições</t>
  </si>
  <si>
    <t>AR/Decom.</t>
  </si>
  <si>
    <t>RdA/Descom.</t>
  </si>
  <si>
    <t>U/C</t>
  </si>
  <si>
    <t>E/Const.</t>
  </si>
  <si>
    <t>Decom.</t>
  </si>
  <si>
    <t>Descom.</t>
  </si>
  <si>
    <t>Under</t>
  </si>
  <si>
    <t>Em</t>
  </si>
  <si>
    <t>Constr.</t>
  </si>
  <si>
    <t>Construç.</t>
  </si>
  <si>
    <t>Notes</t>
  </si>
  <si>
    <t xml:space="preserve">(1) YTD variation considers the decommissioning of 1 MW of Wind in Brazil and 1 MW of Solar DG in US. </t>
  </si>
  <si>
    <t>(1) A variação desde dez-23 considera o descomissionamento de 1 MW de eólico no Brasil e de 1 MW de solar DG nos EUA.</t>
  </si>
  <si>
    <t>Generic</t>
  </si>
  <si>
    <t>EDPR Investor Relations</t>
  </si>
  <si>
    <t>Relações com Investidores EDPR</t>
  </si>
  <si>
    <t>Phone: +34 900 830 004</t>
  </si>
  <si>
    <t>Telefone: +34 900 830 004</t>
  </si>
  <si>
    <t>Email: ir@edpr.com</t>
  </si>
  <si>
    <t>Site: www.edpr-investors.com</t>
  </si>
  <si>
    <t>EDP Renováveis, S.A. | Head office: Plaza del Fresno, 2 - 33007 Oviedo, Spain</t>
  </si>
  <si>
    <t>EDP Renováveis, S.A. | Sede: Plaza del Fresno, 2 - 33007  Oviedo, Espanha</t>
  </si>
  <si>
    <t>CURP:</t>
  </si>
  <si>
    <t>CURPQ:</t>
  </si>
  <si>
    <t>COMP:</t>
  </si>
  <si>
    <t>COMPQ:</t>
  </si>
  <si>
    <t>ULP:</t>
  </si>
  <si>
    <t>AULPQ:</t>
  </si>
  <si>
    <t>check</t>
  </si>
  <si>
    <t>más ancha para tener mesmo tamano que pag 1</t>
  </si>
  <si>
    <t>Offshore</t>
  </si>
  <si>
    <t>U/C as of Dec24</t>
  </si>
  <si>
    <t>Solar increase (x)</t>
  </si>
  <si>
    <t>4Q25</t>
  </si>
  <si>
    <t>4Q24</t>
  </si>
  <si>
    <t>Operating Data Preview 2025</t>
  </si>
  <si>
    <t>Dados Operacionais Previsionais 2025</t>
  </si>
  <si>
    <t>Poland</t>
  </si>
  <si>
    <t>Polónia</t>
  </si>
  <si>
    <t>(1) AR/Decom. variation considers the decommisioning of 33 MW in NA, 9 MW in APAC and 1 MW in France.</t>
  </si>
  <si>
    <t>OK</t>
  </si>
  <si>
    <t xml:space="preserve">(1) Portfolio Equity adj. (2) Project transferred to EDP Produçao. (3) Adj. from 9M25 ODP from Equity to EBITDA. (4) Addition considers 50/61 turbines installed, remaining capacity will be added in 2026. (5) YTD variation considers </t>
  </si>
  <si>
    <t>Solar increase (x) + DG</t>
  </si>
  <si>
    <t>QoQ</t>
  </si>
  <si>
    <t>BESS</t>
  </si>
  <si>
    <t>Solar &amp; BESS</t>
  </si>
  <si>
    <t>Note: Solar capacity and solar load factors reported in MWac. BESS: Battery Energy Storage Systems.</t>
  </si>
  <si>
    <t>the decom. of 33 MW in NA, 9 MW in APAC and 1 MW in France. Note: Solar includes Solar Utility Scale + DG and BESS. Solar capacity and solar load factors reported in MWac.</t>
  </si>
  <si>
    <t xml:space="preserve">(1) A variação RdA/Descom. considera o descomissionamento de 33 MW na América do Norte, 9 MW na APAC e 1 MW na França. </t>
  </si>
  <si>
    <t>Solar e BESS</t>
  </si>
  <si>
    <t>Nota: Capacidade solar e fatores de utilização solares reportados em MWac. BESS: Battery Energy Storage Systems.</t>
  </si>
  <si>
    <t>de 33 MW na América do Norte, 9 MW na APAC e de 1 MW na França. Nota: Solar inclui tecnologia Solar PV, DG e Baterias. Capacidade solar e fatores de utilização solares reportados em MWac.</t>
  </si>
  <si>
    <t xml:space="preserve">(1) Ajustes de portfólio de Equity. (2) Projeto transferido para a EDP Produção. (3) Ajuste de Equity para EBITDA do ODP 9M25. (4) Adições a considerar 50/61 turbinas instaladas, a restante capacidade será adicionada em 2026. (5) Var. YTD considera o descom. </t>
  </si>
  <si>
    <t>Madrid, January 22nd, 2026</t>
  </si>
  <si>
    <t>Madrid, 22 de janeiro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</si>
</sst>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 #,##0.00_-;_-* &quot;-&quot;??_-;_-@_-"/>
    <numFmt numFmtId="164" formatCode="0.0%"/>
    <numFmt numFmtId="165" formatCode="0.000000"/>
    <numFmt numFmtId="166" formatCode="0;0;\-"/>
    <numFmt numFmtId="167" formatCode="#,##0;\(#,##0\);\-"/>
    <numFmt numFmtId="168" formatCode="\+0%\ ;\(0%\);&quot;- &quot;"/>
    <numFmt numFmtId="169" formatCode="\+0\ ;\(0\);\-\ "/>
    <numFmt numFmtId="170" formatCode="\+#,##0;\(#,##0\);\-"/>
    <numFmt numFmtId="171" formatCode="\+0&quot;pp&quot;;\-0&quot;pp&quot;;\-"/>
    <numFmt numFmtId="172" formatCode="\+#,##0\ ;\(#,##0\);\-\ "/>
    <numFmt numFmtId="173" formatCode="0.0"/>
    <numFmt numFmtId="174" formatCode="#,##0\ ;\(#,##0\);\-\ "/>
    <numFmt numFmtId="175" formatCode="\+0.0&quot;pp&quot;;\-0.0&quot;pp&quot;;\-"/>
    <numFmt numFmtId="176" formatCode="#,##0.000000000"/>
    <numFmt numFmtId="177" formatCode="&quot;+&quot;0"/>
    <numFmt numFmtId="178" formatCode="\+#,##0.0000\ ;\(#,##0.0000\);\-\ "/>
    <numFmt numFmtId="179" formatCode="#,##0.0\ ;\(#,##0.0\);\-\ "/>
    <numFmt numFmtId="180" formatCode="#,##0.0"/>
    <numFmt numFmtId="181" formatCode="#,##0.0000"/>
    <numFmt numFmtId="182" formatCode="0%\ ;\(0%\);&quot;-&quot;"/>
    <numFmt numFmtId="183" formatCode="\+#,##0.000\ ;\(#,##0.000\);\-\ "/>
    <numFmt numFmtId="184" formatCode="#,##0.0000000000"/>
    <numFmt numFmtId="185" formatCode="0.00000000000000"/>
    <numFmt numFmtId="186" formatCode="0%;\(0%\);&quot;-&quot;"/>
    <numFmt numFmtId="187" formatCode="\+0%;\(0%\);&quot;-&quot;"/>
    <numFmt numFmtId="188" formatCode="\+#,##0.00\ ;\(#,##0.00\);\-\ "/>
    <numFmt numFmtId="189" formatCode="\+#,##0.00;\(#,##0.00\);\-"/>
    <numFmt numFmtId="190" formatCode="#,##0.00000"/>
    <numFmt numFmtId="191" formatCode="#,##0.000000000000000"/>
    <numFmt numFmtId="192" formatCode="#,##0.000000\ ;\(#,##0.000000\);\-\ "/>
    <numFmt numFmtId="193" formatCode="#,##0%;\(#,##0\)%;\-"/>
    <numFmt numFmtId="194" formatCode="#,##0.0000000\ ;\(#,##0.0000000\);\-\ "/>
    <numFmt numFmtId="195" formatCode="#,##0.0;\(#,##0.0\);\-"/>
    <numFmt numFmtId="196" formatCode="\+0.00&quot;pp&quot;;\-0.00&quot;pp&quot;;\-"/>
    <numFmt numFmtId="197" formatCode="#,##0.00\ ;\(#,##0.00\);\-\ "/>
    <numFmt numFmtId="198" formatCode="\+0.0%\ ;\(0.0%\);&quot;- &quot;"/>
    <numFmt numFmtId="199" formatCode="\+0.00%\ ;\(0.00%\);&quot;- &quot;"/>
    <numFmt numFmtId="200" formatCode="#,##0.000000000000"/>
  </numFmts>
  <fonts count="74" x14ac:knownFonts="1">
    <font>
      <sz val="10"/>
      <name val="Century Gothic"/>
    </font>
    <font>
      <sz val="10"/>
      <name val="Century Gothic"/>
      <family val="2"/>
    </font>
    <font>
      <sz val="10"/>
      <name val="FT Base"/>
      <family val="3"/>
      <scheme val="major"/>
    </font>
    <font>
      <b/>
      <sz val="10"/>
      <name val="FT Base"/>
      <family val="3"/>
      <scheme val="major"/>
    </font>
    <font>
      <b/>
      <sz val="12"/>
      <name val="FT Base"/>
      <family val="3"/>
      <scheme val="major"/>
    </font>
    <font>
      <sz val="11"/>
      <name val="FT Base"/>
      <family val="3"/>
      <scheme val="major"/>
    </font>
    <font>
      <b/>
      <sz val="16"/>
      <name val="FT Base"/>
      <family val="3"/>
      <scheme val="major"/>
    </font>
    <font>
      <b/>
      <sz val="26"/>
      <name val="FT Base"/>
      <family val="3"/>
      <scheme val="major"/>
    </font>
    <font>
      <b/>
      <sz val="16"/>
      <name val="FT Base"/>
      <family val="2"/>
      <scheme val="major"/>
    </font>
    <font>
      <sz val="10"/>
      <name val="FT Base"/>
      <family val="2"/>
      <scheme val="major"/>
    </font>
    <font>
      <sz val="12"/>
      <name val="FT Base"/>
      <family val="2"/>
      <scheme val="major"/>
    </font>
    <font>
      <sz val="10"/>
      <color theme="1" tint="0.499984740745262"/>
      <name val="FT Base"/>
      <family val="2"/>
      <scheme val="major"/>
    </font>
    <font>
      <i/>
      <sz val="10"/>
      <color theme="1" tint="0.499984740745262"/>
      <name val="FT Base"/>
      <family val="2"/>
      <scheme val="major"/>
    </font>
    <font>
      <sz val="10"/>
      <color theme="1" tint="0.34998626667073579"/>
      <name val="FT Base"/>
      <family val="2"/>
      <scheme val="major"/>
    </font>
    <font>
      <sz val="11"/>
      <name val="FT Base"/>
      <family val="2"/>
      <scheme val="major"/>
    </font>
    <font>
      <b/>
      <sz val="12"/>
      <name val="FT Base"/>
      <family val="2"/>
      <scheme val="major"/>
    </font>
    <font>
      <b/>
      <sz val="22"/>
      <name val="FT Base"/>
      <family val="2"/>
      <scheme val="major"/>
    </font>
    <font>
      <b/>
      <sz val="14"/>
      <name val="FT Base"/>
      <family val="2"/>
      <scheme val="major"/>
    </font>
    <font>
      <b/>
      <sz val="28"/>
      <name val="FT Base"/>
      <family val="2"/>
      <scheme val="major"/>
    </font>
    <font>
      <b/>
      <sz val="28"/>
      <color theme="5"/>
      <name val="FT Base"/>
      <family val="2"/>
      <scheme val="major"/>
    </font>
    <font>
      <sz val="14"/>
      <name val="FT Base"/>
      <family val="2"/>
      <scheme val="major"/>
    </font>
    <font>
      <sz val="10"/>
      <color theme="5"/>
      <name val="FT Base"/>
      <family val="2"/>
      <scheme val="major"/>
    </font>
    <font>
      <b/>
      <sz val="9"/>
      <color indexed="56"/>
      <name val="FT Base"/>
      <family val="2"/>
      <scheme val="major"/>
    </font>
    <font>
      <sz val="12"/>
      <color rgb="FFFFFF00"/>
      <name val="FT Base"/>
      <family val="2"/>
      <scheme val="major"/>
    </font>
    <font>
      <sz val="9"/>
      <color indexed="81"/>
      <name val="Tahoma"/>
      <family val="2"/>
    </font>
    <font>
      <b/>
      <sz val="9"/>
      <color indexed="81"/>
      <name val="Tahoma"/>
      <family val="2"/>
    </font>
    <font>
      <sz val="10"/>
      <name val="FT Base Book"/>
      <family val="3"/>
      <scheme val="minor"/>
    </font>
    <font>
      <sz val="9"/>
      <name val="FT Base Book"/>
      <family val="3"/>
      <scheme val="minor"/>
    </font>
    <font>
      <b/>
      <sz val="28"/>
      <name val="FT Base Book"/>
      <family val="3"/>
      <scheme val="minor"/>
    </font>
    <font>
      <b/>
      <sz val="22"/>
      <name val="FT Base Book"/>
      <family val="3"/>
      <scheme val="minor"/>
    </font>
    <font>
      <sz val="10"/>
      <color theme="5"/>
      <name val="FT Base Book"/>
      <family val="3"/>
      <scheme val="minor"/>
    </font>
    <font>
      <b/>
      <sz val="28"/>
      <color theme="5"/>
      <name val="FT Base Book"/>
      <family val="3"/>
      <scheme val="minor"/>
    </font>
    <font>
      <b/>
      <sz val="14"/>
      <name val="FT Base Book"/>
      <family val="3"/>
      <scheme val="minor"/>
    </font>
    <font>
      <b/>
      <sz val="16"/>
      <name val="FT Base Book"/>
      <family val="3"/>
      <scheme val="minor"/>
    </font>
    <font>
      <sz val="12"/>
      <name val="FT Base Book"/>
      <family val="3"/>
      <scheme val="minor"/>
    </font>
    <font>
      <b/>
      <sz val="12"/>
      <name val="FT Base Book"/>
      <family val="3"/>
      <scheme val="minor"/>
    </font>
    <font>
      <sz val="12"/>
      <color rgb="FFFFFF00"/>
      <name val="FT Base Book"/>
      <family val="3"/>
      <scheme val="minor"/>
    </font>
    <font>
      <sz val="14"/>
      <name val="FT Base Book"/>
      <family val="3"/>
      <scheme val="minor"/>
    </font>
    <font>
      <sz val="10"/>
      <color theme="1" tint="0.34998626667073579"/>
      <name val="FT Base Book"/>
      <family val="3"/>
      <scheme val="minor"/>
    </font>
    <font>
      <sz val="10"/>
      <color theme="1" tint="0.499984740745262"/>
      <name val="FT Base Book"/>
      <family val="3"/>
      <scheme val="minor"/>
    </font>
    <font>
      <i/>
      <sz val="10"/>
      <color theme="1" tint="0.499984740745262"/>
      <name val="FT Base Book"/>
      <family val="3"/>
      <scheme val="minor"/>
    </font>
    <font>
      <b/>
      <sz val="12"/>
      <color rgb="FFFFFF00"/>
      <name val="FT Base Book"/>
      <family val="3"/>
      <scheme val="minor"/>
    </font>
    <font>
      <sz val="10"/>
      <color rgb="FF51759D"/>
      <name val="FT Base Book"/>
      <family val="3"/>
      <scheme val="minor"/>
    </font>
    <font>
      <b/>
      <sz val="28"/>
      <color theme="1"/>
      <name val="FT Base"/>
      <family val="3"/>
      <scheme val="major"/>
    </font>
    <font>
      <sz val="10"/>
      <name val="FT Base"/>
      <family val="3"/>
      <scheme val="major"/>
    </font>
    <font>
      <sz val="10"/>
      <color theme="0"/>
      <name val="FT Base"/>
      <family val="3"/>
      <scheme val="major"/>
    </font>
    <font>
      <b/>
      <sz val="9"/>
      <name val="FT Base Book"/>
      <family val="3"/>
      <scheme val="minor"/>
    </font>
    <font>
      <b/>
      <sz val="10"/>
      <name val="FT Base Book"/>
      <family val="3"/>
      <scheme val="minor"/>
    </font>
    <font>
      <sz val="10"/>
      <color rgb="FFFF0000"/>
      <name val="FT Base Book"/>
      <family val="3"/>
      <scheme val="minor"/>
    </font>
    <font>
      <b/>
      <sz val="16"/>
      <color theme="4"/>
      <name val="FT Base Book"/>
      <family val="3"/>
      <scheme val="minor"/>
    </font>
    <font>
      <b/>
      <sz val="22"/>
      <color rgb="FFFF0000"/>
      <name val="FT Base Book"/>
      <family val="3"/>
      <scheme val="minor"/>
    </font>
    <font>
      <b/>
      <sz val="18"/>
      <color theme="4"/>
      <name val="FT Base Book"/>
      <family val="3"/>
      <scheme val="minor"/>
    </font>
    <font>
      <b/>
      <sz val="10"/>
      <color rgb="FFFF0000"/>
      <name val="FT Base Book"/>
      <family val="3"/>
      <scheme val="minor"/>
    </font>
    <font>
      <b/>
      <sz val="14"/>
      <color rgb="FFFF0000"/>
      <name val="FT Base Book"/>
      <family val="3"/>
      <scheme val="minor"/>
    </font>
    <font>
      <i/>
      <sz val="12"/>
      <name val="FT Base Book"/>
      <family val="3"/>
      <scheme val="minor"/>
    </font>
    <font>
      <sz val="8"/>
      <name val="Century Gothic"/>
      <family val="2"/>
    </font>
    <font>
      <sz val="12"/>
      <name val="FT Base Book"/>
      <scheme val="minor"/>
    </font>
    <font>
      <b/>
      <sz val="12"/>
      <color theme="4"/>
      <name val="FT Base Book"/>
      <family val="3"/>
      <scheme val="minor"/>
    </font>
    <font>
      <i/>
      <sz val="10"/>
      <name val="FT Base Book"/>
      <scheme val="minor"/>
    </font>
    <font>
      <b/>
      <sz val="12"/>
      <name val="FT Base Book"/>
      <scheme val="minor"/>
    </font>
    <font>
      <sz val="10"/>
      <name val="FT Base Book"/>
      <scheme val="minor"/>
    </font>
    <font>
      <b/>
      <sz val="14"/>
      <color theme="4"/>
      <name val="FT Base Book"/>
      <family val="3"/>
      <scheme val="minor"/>
    </font>
    <font>
      <sz val="11"/>
      <name val="FT Base Book"/>
      <family val="2"/>
      <scheme val="minor"/>
    </font>
    <font>
      <sz val="12"/>
      <color rgb="FFFF0000"/>
      <name val="FT Base Book"/>
      <family val="3"/>
      <scheme val="minor"/>
    </font>
    <font>
      <b/>
      <sz val="18"/>
      <name val="FT Base Book"/>
      <family val="3"/>
      <scheme val="minor"/>
    </font>
    <font>
      <i/>
      <sz val="10"/>
      <name val="FT Base Book"/>
      <family val="3"/>
      <scheme val="minor"/>
    </font>
    <font>
      <b/>
      <sz val="11"/>
      <color theme="1"/>
      <name val="FT Base Book"/>
      <family val="2"/>
      <scheme val="minor"/>
    </font>
    <font>
      <b/>
      <sz val="10"/>
      <name val="FT Base Book"/>
      <scheme val="minor"/>
    </font>
    <font>
      <sz val="16"/>
      <name val="FT Base Medium"/>
    </font>
    <font>
      <sz val="14"/>
      <name val="FT Base Medium"/>
    </font>
    <font>
      <sz val="28"/>
      <name val="FT Base Medium"/>
    </font>
    <font>
      <sz val="12"/>
      <name val="FT Base Medium"/>
    </font>
    <font>
      <sz val="10"/>
      <name val="FT Base Medium"/>
    </font>
    <font>
      <sz val="11"/>
      <name val="FT Base Medium"/>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style="hair">
        <color auto="1"/>
      </left>
      <right style="hair">
        <color auto="1"/>
      </right>
      <top/>
      <bottom/>
      <diagonal/>
    </border>
    <border>
      <left/>
      <right style="hair">
        <color auto="1"/>
      </right>
      <top/>
      <bottom/>
      <diagonal/>
    </border>
    <border>
      <left style="hair">
        <color auto="1"/>
      </left>
      <right style="hair">
        <color auto="1"/>
      </right>
      <top style="medium">
        <color indexed="64"/>
      </top>
      <bottom/>
      <diagonal/>
    </border>
    <border>
      <left style="hair">
        <color auto="1"/>
      </left>
      <right style="hair">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style="thin">
        <color theme="5"/>
      </top>
      <bottom style="medium">
        <color theme="5"/>
      </bottom>
      <diagonal/>
    </border>
    <border>
      <left/>
      <right style="medium">
        <color theme="5"/>
      </right>
      <top style="thin">
        <color theme="5"/>
      </top>
      <bottom style="medium">
        <color theme="5"/>
      </bottom>
      <diagonal/>
    </border>
    <border>
      <left/>
      <right/>
      <top style="thin">
        <color theme="5"/>
      </top>
      <bottom style="thin">
        <color theme="5"/>
      </bottom>
      <diagonal/>
    </border>
    <border>
      <left/>
      <right/>
      <top/>
      <bottom style="medium">
        <color theme="5"/>
      </bottom>
      <diagonal/>
    </border>
    <border>
      <left/>
      <right/>
      <top/>
      <bottom style="thin">
        <color theme="5"/>
      </bottom>
      <diagonal/>
    </border>
    <border>
      <left/>
      <right/>
      <top/>
      <bottom style="thin">
        <color indexed="64"/>
      </bottom>
      <diagonal/>
    </border>
    <border>
      <left style="hair">
        <color theme="1" tint="0.499984740745262"/>
      </left>
      <right/>
      <top/>
      <bottom/>
      <diagonal/>
    </border>
    <border>
      <left style="thick">
        <color theme="0"/>
      </left>
      <right/>
      <top/>
      <bottom style="medium">
        <color theme="5"/>
      </bottom>
      <diagonal/>
    </border>
    <border>
      <left/>
      <right style="thick">
        <color theme="0"/>
      </right>
      <top/>
      <bottom style="medium">
        <color theme="5"/>
      </bottom>
      <diagonal/>
    </border>
    <border>
      <left/>
      <right/>
      <top style="thin">
        <color theme="5"/>
      </top>
      <bottom style="medium">
        <color theme="5"/>
      </bottom>
      <diagonal/>
    </border>
    <border>
      <left/>
      <right/>
      <top style="thin">
        <color theme="5"/>
      </top>
      <bottom/>
      <diagonal/>
    </border>
    <border>
      <left/>
      <right/>
      <top style="medium">
        <color theme="5"/>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medium">
        <color theme="8"/>
      </bottom>
      <diagonal/>
    </border>
    <border>
      <left/>
      <right style="thick">
        <color theme="0"/>
      </right>
      <top/>
      <bottom style="medium">
        <color theme="8"/>
      </bottom>
      <diagonal/>
    </border>
    <border>
      <left style="thick">
        <color theme="0"/>
      </left>
      <right/>
      <top/>
      <bottom style="medium">
        <color theme="8"/>
      </bottom>
      <diagonal/>
    </border>
    <border>
      <left/>
      <right/>
      <top style="medium">
        <color theme="5"/>
      </top>
      <bottom style="thin">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top/>
      <bottom/>
      <diagonal/>
    </border>
    <border>
      <left/>
      <right/>
      <top style="thin">
        <color theme="2"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n">
        <color theme="2" tint="-0.499984740745262"/>
      </bottom>
      <diagonal/>
    </border>
  </borders>
  <cellStyleXfs count="4">
    <xf numFmtId="165" fontId="0" fillId="0" borderId="0">
      <alignment horizontal="left" wrapText="1"/>
    </xf>
    <xf numFmtId="9" fontId="1" fillId="0" borderId="0" applyFont="0" applyFill="0" applyBorder="0" applyAlignment="0" applyProtection="0"/>
    <xf numFmtId="165" fontId="1" fillId="0" borderId="0">
      <alignment horizontal="left" wrapText="1"/>
    </xf>
    <xf numFmtId="43" fontId="1" fillId="0" borderId="0" applyFont="0" applyFill="0" applyBorder="0" applyAlignment="0" applyProtection="0"/>
  </cellStyleXfs>
  <cellXfs count="628">
    <xf numFmtId="0" fontId="0" fillId="0" borderId="0" xfId="0" applyNumberFormat="1" applyAlignment="1"/>
    <xf numFmtId="0" fontId="9" fillId="0" borderId="0" xfId="2" applyNumberFormat="1" applyFont="1" applyAlignment="1">
      <alignment vertical="center"/>
    </xf>
    <xf numFmtId="1" fontId="9" fillId="0" borderId="0" xfId="2" applyNumberFormat="1" applyFont="1" applyAlignment="1">
      <alignment vertical="center"/>
    </xf>
    <xf numFmtId="0" fontId="10" fillId="0" borderId="0" xfId="2" applyNumberFormat="1" applyFont="1" applyAlignment="1">
      <alignment vertical="center"/>
    </xf>
    <xf numFmtId="165" fontId="10" fillId="0" borderId="0" xfId="2" quotePrefix="1" applyFont="1" applyAlignment="1">
      <alignment vertical="center"/>
    </xf>
    <xf numFmtId="0" fontId="10" fillId="0" borderId="0" xfId="2" quotePrefix="1" applyNumberFormat="1" applyFont="1" applyAlignment="1">
      <alignment vertical="center"/>
    </xf>
    <xf numFmtId="0" fontId="11" fillId="0" borderId="0" xfId="2" applyNumberFormat="1" applyFont="1" applyAlignment="1">
      <alignment vertical="center"/>
    </xf>
    <xf numFmtId="0" fontId="12" fillId="0" borderId="0" xfId="2" applyNumberFormat="1" applyFont="1" applyAlignment="1">
      <alignment vertical="center"/>
    </xf>
    <xf numFmtId="0" fontId="14" fillId="0" borderId="0" xfId="2" applyNumberFormat="1" applyFont="1" applyAlignment="1">
      <alignment vertical="center"/>
    </xf>
    <xf numFmtId="0" fontId="15" fillId="0" borderId="16" xfId="2" applyNumberFormat="1" applyFont="1" applyBorder="1" applyAlignment="1">
      <alignment vertical="center"/>
    </xf>
    <xf numFmtId="3" fontId="15" fillId="0" borderId="16" xfId="2" applyNumberFormat="1" applyFont="1" applyBorder="1" applyAlignment="1">
      <alignment vertical="center"/>
    </xf>
    <xf numFmtId="0" fontId="15" fillId="0" borderId="0" xfId="2" applyNumberFormat="1" applyFont="1" applyAlignment="1">
      <alignment vertical="center"/>
    </xf>
    <xf numFmtId="3" fontId="15" fillId="0" borderId="0" xfId="2" applyNumberFormat="1" applyFont="1" applyAlignment="1">
      <alignment vertical="center"/>
    </xf>
    <xf numFmtId="3" fontId="10" fillId="0" borderId="0" xfId="2" applyNumberFormat="1" applyFont="1" applyAlignment="1">
      <alignment horizontal="left" vertical="center" indent="1"/>
    </xf>
    <xf numFmtId="0" fontId="15" fillId="0" borderId="18" xfId="2" applyNumberFormat="1" applyFont="1" applyBorder="1" applyAlignment="1">
      <alignment vertical="center"/>
    </xf>
    <xf numFmtId="165" fontId="10" fillId="0" borderId="18" xfId="2" applyFont="1" applyBorder="1" applyAlignment="1">
      <alignment vertical="center"/>
    </xf>
    <xf numFmtId="0" fontId="15" fillId="0" borderId="17" xfId="2" applyNumberFormat="1" applyFont="1" applyBorder="1" applyAlignment="1">
      <alignment vertical="center"/>
    </xf>
    <xf numFmtId="0" fontId="8" fillId="0" borderId="17" xfId="2" applyNumberFormat="1" applyFont="1" applyBorder="1" applyAlignment="1"/>
    <xf numFmtId="0" fontId="9" fillId="0" borderId="17" xfId="2" applyNumberFormat="1" applyFont="1" applyBorder="1" applyAlignment="1">
      <alignment vertical="center"/>
    </xf>
    <xf numFmtId="3" fontId="8" fillId="0" borderId="17" xfId="2" applyNumberFormat="1" applyFont="1" applyBorder="1" applyAlignment="1"/>
    <xf numFmtId="172" fontId="15" fillId="0" borderId="16" xfId="3" applyNumberFormat="1" applyFont="1" applyFill="1" applyBorder="1" applyAlignment="1">
      <alignment horizontal="center" vertical="center"/>
    </xf>
    <xf numFmtId="172" fontId="15" fillId="0" borderId="0" xfId="3" applyNumberFormat="1" applyFont="1" applyFill="1" applyBorder="1" applyAlignment="1">
      <alignment horizontal="center" vertical="center"/>
    </xf>
    <xf numFmtId="172" fontId="10" fillId="0" borderId="0" xfId="3" applyNumberFormat="1" applyFont="1" applyFill="1" applyBorder="1" applyAlignment="1">
      <alignment horizontal="center" vertical="center"/>
    </xf>
    <xf numFmtId="167" fontId="10" fillId="0" borderId="0" xfId="2" applyNumberFormat="1" applyFont="1" applyAlignment="1">
      <alignment horizontal="center" vertical="center"/>
    </xf>
    <xf numFmtId="172" fontId="10" fillId="0" borderId="0" xfId="2" applyNumberFormat="1" applyFont="1" applyAlignment="1">
      <alignment horizontal="center" vertical="center"/>
    </xf>
    <xf numFmtId="17" fontId="15" fillId="0" borderId="18" xfId="2" quotePrefix="1" applyNumberFormat="1" applyFont="1" applyBorder="1" applyAlignment="1">
      <alignment horizontal="center" vertical="center"/>
    </xf>
    <xf numFmtId="1" fontId="15" fillId="5" borderId="18" xfId="2" applyNumberFormat="1" applyFont="1" applyFill="1" applyBorder="1" applyAlignment="1">
      <alignment horizontal="center" vertical="center"/>
    </xf>
    <xf numFmtId="0" fontId="15" fillId="0" borderId="16" xfId="2" applyNumberFormat="1" applyFont="1" applyBorder="1" applyAlignment="1">
      <alignment horizontal="center" vertical="center"/>
    </xf>
    <xf numFmtId="0" fontId="10" fillId="2" borderId="0" xfId="2" applyNumberFormat="1" applyFont="1" applyFill="1" applyAlignment="1">
      <alignment vertical="center"/>
    </xf>
    <xf numFmtId="0" fontId="16" fillId="0" borderId="0" xfId="2" applyNumberFormat="1" applyFont="1" applyAlignment="1">
      <alignment vertical="center"/>
    </xf>
    <xf numFmtId="3" fontId="15" fillId="0" borderId="17" xfId="2" applyNumberFormat="1" applyFont="1" applyBorder="1" applyAlignment="1">
      <alignment vertical="center"/>
    </xf>
    <xf numFmtId="0" fontId="9" fillId="0" borderId="19" xfId="2" applyNumberFormat="1" applyFont="1" applyBorder="1" applyAlignment="1">
      <alignment vertical="center"/>
    </xf>
    <xf numFmtId="0" fontId="17" fillId="0" borderId="19" xfId="2" applyNumberFormat="1" applyFont="1" applyBorder="1" applyAlignment="1">
      <alignment horizontal="left" vertical="center"/>
    </xf>
    <xf numFmtId="0" fontId="18" fillId="0" borderId="0" xfId="2" applyNumberFormat="1" applyFont="1" applyAlignment="1">
      <alignment vertical="center"/>
    </xf>
    <xf numFmtId="0" fontId="19" fillId="0" borderId="0" xfId="2" applyNumberFormat="1" applyFont="1" applyAlignment="1">
      <alignment horizontal="left" vertical="center"/>
    </xf>
    <xf numFmtId="0" fontId="1" fillId="0" borderId="0" xfId="2" applyNumberFormat="1" applyAlignment="1"/>
    <xf numFmtId="0" fontId="20" fillId="0" borderId="0" xfId="2" applyNumberFormat="1" applyFont="1" applyAlignment="1">
      <alignment vertical="center"/>
    </xf>
    <xf numFmtId="0" fontId="9" fillId="4" borderId="0" xfId="2" applyNumberFormat="1" applyFont="1" applyFill="1" applyAlignment="1">
      <alignment vertical="center"/>
    </xf>
    <xf numFmtId="171" fontId="15" fillId="0" borderId="16" xfId="1" applyNumberFormat="1" applyFont="1" applyFill="1" applyBorder="1" applyAlignment="1">
      <alignment horizontal="center" vertical="center"/>
    </xf>
    <xf numFmtId="9" fontId="15" fillId="0" borderId="16" xfId="1" applyFont="1" applyBorder="1" applyAlignment="1">
      <alignment horizontal="center" vertical="center"/>
    </xf>
    <xf numFmtId="9" fontId="15" fillId="5" borderId="16" xfId="1" applyFont="1" applyFill="1" applyBorder="1" applyAlignment="1">
      <alignment horizontal="center" vertical="center"/>
    </xf>
    <xf numFmtId="3" fontId="9" fillId="0" borderId="0" xfId="2" applyNumberFormat="1" applyFont="1" applyAlignment="1">
      <alignment vertical="center"/>
    </xf>
    <xf numFmtId="165" fontId="15" fillId="0" borderId="18" xfId="2" applyFont="1" applyBorder="1" applyAlignment="1">
      <alignment horizontal="center" vertical="center"/>
    </xf>
    <xf numFmtId="1" fontId="15" fillId="0" borderId="18" xfId="2" applyNumberFormat="1" applyFont="1" applyBorder="1" applyAlignment="1">
      <alignment horizontal="center" vertical="center"/>
    </xf>
    <xf numFmtId="165" fontId="15" fillId="0" borderId="18" xfId="2" applyFont="1" applyBorder="1" applyAlignment="1">
      <alignment vertical="center"/>
    </xf>
    <xf numFmtId="0" fontId="15" fillId="0" borderId="0" xfId="2" applyNumberFormat="1" applyFont="1" applyAlignment="1">
      <alignment horizontal="right" vertical="center"/>
    </xf>
    <xf numFmtId="3" fontId="8" fillId="0" borderId="17" xfId="2" applyNumberFormat="1" applyFont="1" applyBorder="1" applyAlignment="1">
      <alignment vertical="center"/>
    </xf>
    <xf numFmtId="171" fontId="15" fillId="0" borderId="0" xfId="1" applyNumberFormat="1" applyFont="1" applyFill="1" applyBorder="1" applyAlignment="1">
      <alignment horizontal="center" vertical="center"/>
    </xf>
    <xf numFmtId="9" fontId="15" fillId="5" borderId="0" xfId="1" applyFont="1" applyFill="1" applyBorder="1" applyAlignment="1">
      <alignment horizontal="center" vertical="center"/>
    </xf>
    <xf numFmtId="171" fontId="10" fillId="0" borderId="0" xfId="1" applyNumberFormat="1" applyFont="1" applyFill="1" applyBorder="1" applyAlignment="1">
      <alignment horizontal="center" vertical="center"/>
    </xf>
    <xf numFmtId="9" fontId="10" fillId="5" borderId="0" xfId="1" applyFont="1" applyFill="1" applyBorder="1" applyAlignment="1">
      <alignment horizontal="center" vertical="center"/>
    </xf>
    <xf numFmtId="3" fontId="10" fillId="0" borderId="0" xfId="2" applyNumberFormat="1" applyFont="1" applyAlignment="1">
      <alignment vertical="center"/>
    </xf>
    <xf numFmtId="168" fontId="15" fillId="0" borderId="16" xfId="1" applyNumberFormat="1" applyFont="1" applyFill="1" applyBorder="1" applyAlignment="1">
      <alignment horizontal="center" vertical="center"/>
    </xf>
    <xf numFmtId="167" fontId="15" fillId="0" borderId="16" xfId="2" applyNumberFormat="1" applyFont="1" applyBorder="1" applyAlignment="1">
      <alignment horizontal="center" vertical="center"/>
    </xf>
    <xf numFmtId="167" fontId="15" fillId="5" borderId="16" xfId="2" applyNumberFormat="1" applyFont="1" applyFill="1" applyBorder="1" applyAlignment="1">
      <alignment horizontal="center" vertical="center"/>
    </xf>
    <xf numFmtId="168" fontId="15" fillId="0" borderId="0" xfId="1" applyNumberFormat="1" applyFont="1" applyFill="1" applyBorder="1" applyAlignment="1">
      <alignment horizontal="center" vertical="center"/>
    </xf>
    <xf numFmtId="167" fontId="15" fillId="0" borderId="0" xfId="2" applyNumberFormat="1" applyFont="1" applyAlignment="1">
      <alignment horizontal="center" vertical="center"/>
    </xf>
    <xf numFmtId="167" fontId="15" fillId="5" borderId="0" xfId="2" applyNumberFormat="1" applyFont="1" applyFill="1" applyAlignment="1">
      <alignment horizontal="center" vertical="center"/>
    </xf>
    <xf numFmtId="168" fontId="10" fillId="0" borderId="0" xfId="1" applyNumberFormat="1" applyFont="1" applyFill="1" applyBorder="1" applyAlignment="1">
      <alignment horizontal="center" vertical="center"/>
    </xf>
    <xf numFmtId="167" fontId="10" fillId="5" borderId="0" xfId="2" applyNumberFormat="1" applyFont="1" applyFill="1" applyAlignment="1">
      <alignment horizontal="center" vertical="center"/>
    </xf>
    <xf numFmtId="0" fontId="9" fillId="0" borderId="0" xfId="2" applyNumberFormat="1" applyFont="1" applyAlignment="1">
      <alignment horizontal="center" vertical="center"/>
    </xf>
    <xf numFmtId="3" fontId="15" fillId="0" borderId="0" xfId="2" applyNumberFormat="1" applyFont="1" applyAlignment="1">
      <alignment horizontal="left" vertical="center"/>
    </xf>
    <xf numFmtId="3" fontId="15" fillId="0" borderId="18" xfId="2" applyNumberFormat="1" applyFont="1" applyBorder="1" applyAlignment="1">
      <alignment vertical="center"/>
    </xf>
    <xf numFmtId="0" fontId="21" fillId="0" borderId="0" xfId="2" applyNumberFormat="1" applyFont="1" applyAlignment="1">
      <alignment vertical="center"/>
    </xf>
    <xf numFmtId="0" fontId="22" fillId="0" borderId="6" xfId="2" quotePrefix="1" applyNumberFormat="1" applyFont="1" applyBorder="1" applyAlignment="1">
      <alignment horizontal="center" vertical="center"/>
    </xf>
    <xf numFmtId="0" fontId="22" fillId="0" borderId="1" xfId="2" quotePrefix="1" applyNumberFormat="1" applyFont="1" applyBorder="1" applyAlignment="1">
      <alignment horizontal="center" vertical="center"/>
    </xf>
    <xf numFmtId="0" fontId="22" fillId="0" borderId="1" xfId="2" applyNumberFormat="1" applyFont="1" applyBorder="1" applyAlignment="1">
      <alignment horizontal="center" vertical="center"/>
    </xf>
    <xf numFmtId="0" fontId="22" fillId="0" borderId="0" xfId="2" applyNumberFormat="1" applyFont="1" applyAlignment="1">
      <alignment vertical="center"/>
    </xf>
    <xf numFmtId="1" fontId="22" fillId="0" borderId="1" xfId="2" applyNumberFormat="1" applyFont="1" applyBorder="1" applyAlignment="1">
      <alignment horizontal="center" vertical="center"/>
    </xf>
    <xf numFmtId="170" fontId="15" fillId="0" borderId="0" xfId="3" applyNumberFormat="1" applyFont="1" applyFill="1" applyBorder="1" applyAlignment="1">
      <alignment horizontal="center" vertical="center"/>
    </xf>
    <xf numFmtId="170" fontId="9" fillId="0" borderId="0" xfId="2" applyNumberFormat="1" applyFont="1" applyAlignment="1">
      <alignment horizontal="center" vertical="center"/>
    </xf>
    <xf numFmtId="170" fontId="15" fillId="0" borderId="16" xfId="3" applyNumberFormat="1" applyFont="1" applyFill="1" applyBorder="1" applyAlignment="1">
      <alignment horizontal="center" vertical="center"/>
    </xf>
    <xf numFmtId="167" fontId="10" fillId="2" borderId="0" xfId="2" applyNumberFormat="1" applyFont="1" applyFill="1" applyAlignment="1">
      <alignment horizontal="center" vertical="center"/>
    </xf>
    <xf numFmtId="174" fontId="10" fillId="5" borderId="0" xfId="3" applyNumberFormat="1" applyFont="1" applyFill="1" applyBorder="1" applyAlignment="1">
      <alignment horizontal="center" vertical="center"/>
    </xf>
    <xf numFmtId="174" fontId="15" fillId="5" borderId="0" xfId="3" applyNumberFormat="1" applyFont="1" applyFill="1" applyBorder="1" applyAlignment="1">
      <alignment horizontal="center" vertical="center"/>
    </xf>
    <xf numFmtId="174" fontId="15" fillId="5" borderId="16" xfId="3" applyNumberFormat="1" applyFont="1" applyFill="1" applyBorder="1" applyAlignment="1">
      <alignment horizontal="center" vertical="center"/>
    </xf>
    <xf numFmtId="174" fontId="10" fillId="5" borderId="0" xfId="2" applyNumberFormat="1" applyFont="1" applyFill="1" applyAlignment="1">
      <alignment horizontal="center" vertical="center"/>
    </xf>
    <xf numFmtId="174" fontId="10" fillId="0" borderId="0" xfId="3" applyNumberFormat="1" applyFont="1" applyFill="1" applyBorder="1" applyAlignment="1">
      <alignment horizontal="center" vertical="center"/>
    </xf>
    <xf numFmtId="174" fontId="15" fillId="0" borderId="0" xfId="3" applyNumberFormat="1" applyFont="1" applyFill="1" applyBorder="1" applyAlignment="1">
      <alignment horizontal="center" vertical="center"/>
    </xf>
    <xf numFmtId="174" fontId="10" fillId="0" borderId="0" xfId="2" applyNumberFormat="1" applyFont="1" applyAlignment="1">
      <alignment horizontal="center" vertical="center"/>
    </xf>
    <xf numFmtId="1" fontId="9" fillId="0" borderId="0" xfId="2" applyNumberFormat="1" applyFont="1" applyAlignment="1"/>
    <xf numFmtId="0" fontId="9" fillId="0" borderId="0" xfId="2" applyNumberFormat="1" applyFont="1" applyAlignment="1"/>
    <xf numFmtId="0" fontId="9" fillId="0" borderId="17" xfId="2" applyNumberFormat="1" applyFont="1" applyBorder="1" applyAlignment="1"/>
    <xf numFmtId="0" fontId="15" fillId="0" borderId="17" xfId="2" applyNumberFormat="1" applyFont="1" applyBorder="1" applyAlignment="1"/>
    <xf numFmtId="167" fontId="9" fillId="0" borderId="0" xfId="2" applyNumberFormat="1" applyFont="1" applyAlignment="1">
      <alignment horizontal="center" vertical="center"/>
    </xf>
    <xf numFmtId="167" fontId="15" fillId="0" borderId="0" xfId="3" applyNumberFormat="1" applyFont="1" applyFill="1" applyBorder="1" applyAlignment="1">
      <alignment horizontal="center" vertical="center"/>
    </xf>
    <xf numFmtId="167" fontId="15" fillId="5" borderId="0" xfId="3" applyNumberFormat="1" applyFont="1" applyFill="1" applyBorder="1" applyAlignment="1">
      <alignment horizontal="center" vertical="center"/>
    </xf>
    <xf numFmtId="167" fontId="15" fillId="5" borderId="16" xfId="3" applyNumberFormat="1" applyFont="1" applyFill="1" applyBorder="1" applyAlignment="1">
      <alignment horizontal="center" vertical="center"/>
    </xf>
    <xf numFmtId="167" fontId="10" fillId="0" borderId="0" xfId="3" applyNumberFormat="1" applyFont="1" applyFill="1" applyBorder="1" applyAlignment="1">
      <alignment horizontal="center" vertical="center"/>
    </xf>
    <xf numFmtId="0" fontId="9" fillId="2" borderId="0" xfId="2" applyNumberFormat="1" applyFont="1" applyFill="1" applyAlignment="1">
      <alignment vertical="center"/>
    </xf>
    <xf numFmtId="9" fontId="9" fillId="0" borderId="0" xfId="1" applyFont="1" applyFill="1" applyAlignment="1">
      <alignment vertical="center"/>
    </xf>
    <xf numFmtId="0" fontId="1" fillId="2" borderId="0" xfId="2" applyNumberFormat="1" applyFill="1" applyAlignment="1"/>
    <xf numFmtId="0" fontId="20" fillId="2" borderId="0" xfId="2" applyNumberFormat="1" applyFont="1" applyFill="1" applyAlignment="1">
      <alignment vertical="center"/>
    </xf>
    <xf numFmtId="176" fontId="9" fillId="0" borderId="0" xfId="2" applyNumberFormat="1" applyFont="1" applyAlignment="1">
      <alignment vertical="center"/>
    </xf>
    <xf numFmtId="0" fontId="9" fillId="5" borderId="0" xfId="2" applyNumberFormat="1" applyFont="1" applyFill="1" applyAlignment="1">
      <alignment horizontal="center" vertical="center"/>
    </xf>
    <xf numFmtId="170" fontId="15" fillId="5" borderId="0" xfId="2" applyNumberFormat="1" applyFont="1" applyFill="1" applyAlignment="1">
      <alignment horizontal="center" vertical="center"/>
    </xf>
    <xf numFmtId="170" fontId="9" fillId="5" borderId="0" xfId="2" applyNumberFormat="1" applyFont="1" applyFill="1" applyAlignment="1">
      <alignment horizontal="center" vertical="center"/>
    </xf>
    <xf numFmtId="175" fontId="15" fillId="0" borderId="16" xfId="1" applyNumberFormat="1" applyFont="1" applyFill="1" applyBorder="1" applyAlignment="1">
      <alignment horizontal="center" vertical="center"/>
    </xf>
    <xf numFmtId="9" fontId="10" fillId="2" borderId="0" xfId="1" applyFont="1" applyFill="1" applyBorder="1" applyAlignment="1">
      <alignment horizontal="center" vertical="center"/>
    </xf>
    <xf numFmtId="9" fontId="15" fillId="2" borderId="0" xfId="1" applyFont="1" applyFill="1" applyBorder="1" applyAlignment="1">
      <alignment horizontal="center" vertical="center"/>
    </xf>
    <xf numFmtId="170" fontId="15" fillId="2" borderId="0" xfId="3" applyNumberFormat="1" applyFont="1" applyFill="1" applyBorder="1" applyAlignment="1">
      <alignment horizontal="center" vertical="center"/>
    </xf>
    <xf numFmtId="170" fontId="9" fillId="2" borderId="0" xfId="2" applyNumberFormat="1" applyFont="1" applyFill="1" applyAlignment="1">
      <alignment horizontal="center" vertical="center"/>
    </xf>
    <xf numFmtId="170" fontId="15" fillId="2" borderId="16" xfId="3" applyNumberFormat="1" applyFont="1" applyFill="1" applyBorder="1" applyAlignment="1">
      <alignment horizontal="center" vertical="center"/>
    </xf>
    <xf numFmtId="177" fontId="10" fillId="2" borderId="0" xfId="2" applyNumberFormat="1" applyFont="1" applyFill="1" applyAlignment="1">
      <alignment horizontal="center" vertical="center"/>
    </xf>
    <xf numFmtId="177" fontId="9" fillId="0" borderId="0" xfId="2" applyNumberFormat="1" applyFont="1" applyAlignment="1">
      <alignment vertical="center"/>
    </xf>
    <xf numFmtId="177" fontId="10" fillId="0" borderId="0" xfId="2" applyNumberFormat="1" applyFont="1" applyAlignment="1">
      <alignment horizontal="center" vertical="center"/>
    </xf>
    <xf numFmtId="177" fontId="10" fillId="0" borderId="0" xfId="2" applyNumberFormat="1" applyFont="1" applyAlignment="1">
      <alignment vertical="center"/>
    </xf>
    <xf numFmtId="0" fontId="15" fillId="5" borderId="16" xfId="2" applyNumberFormat="1" applyFont="1" applyFill="1" applyBorder="1" applyAlignment="1">
      <alignment horizontal="center" vertical="center"/>
    </xf>
    <xf numFmtId="170" fontId="15" fillId="5" borderId="16" xfId="3" applyNumberFormat="1" applyFont="1" applyFill="1" applyBorder="1" applyAlignment="1">
      <alignment horizontal="center" vertical="center"/>
    </xf>
    <xf numFmtId="167" fontId="15" fillId="0" borderId="16" xfId="3" applyNumberFormat="1" applyFont="1" applyFill="1" applyBorder="1" applyAlignment="1">
      <alignment horizontal="center" vertical="center"/>
    </xf>
    <xf numFmtId="0" fontId="15" fillId="5" borderId="18" xfId="2" applyNumberFormat="1" applyFont="1" applyFill="1" applyBorder="1" applyAlignment="1">
      <alignment horizontal="center" vertical="center"/>
    </xf>
    <xf numFmtId="174" fontId="15" fillId="0" borderId="18" xfId="3" applyNumberFormat="1" applyFont="1" applyFill="1" applyBorder="1" applyAlignment="1">
      <alignment horizontal="center" vertical="center"/>
    </xf>
    <xf numFmtId="174" fontId="15" fillId="0" borderId="16" xfId="3" applyNumberFormat="1" applyFont="1" applyFill="1" applyBorder="1" applyAlignment="1">
      <alignment horizontal="center" vertical="center"/>
    </xf>
    <xf numFmtId="177" fontId="15" fillId="0" borderId="16" xfId="2" applyNumberFormat="1" applyFont="1" applyBorder="1" applyAlignment="1">
      <alignment horizontal="center" vertical="center"/>
    </xf>
    <xf numFmtId="9" fontId="15" fillId="2" borderId="16" xfId="1" applyFont="1" applyFill="1" applyBorder="1" applyAlignment="1">
      <alignment horizontal="center" vertical="center"/>
    </xf>
    <xf numFmtId="0" fontId="23" fillId="0" borderId="0" xfId="2" applyNumberFormat="1" applyFont="1" applyAlignment="1">
      <alignment vertical="center"/>
    </xf>
    <xf numFmtId="0" fontId="15" fillId="0" borderId="18" xfId="2" applyNumberFormat="1" applyFont="1" applyBorder="1" applyAlignment="1">
      <alignment horizontal="center" vertical="center"/>
    </xf>
    <xf numFmtId="0" fontId="11" fillId="0" borderId="20" xfId="2" applyNumberFormat="1" applyFont="1" applyBorder="1" applyAlignment="1">
      <alignment horizontal="left" vertical="center"/>
    </xf>
    <xf numFmtId="0" fontId="10" fillId="0" borderId="0" xfId="2" applyNumberFormat="1" applyFont="1" applyAlignment="1">
      <alignment horizontal="center" vertical="center"/>
    </xf>
    <xf numFmtId="0" fontId="10" fillId="2" borderId="0" xfId="2" applyNumberFormat="1" applyFont="1" applyFill="1" applyAlignment="1">
      <alignment horizontal="center" vertical="center"/>
    </xf>
    <xf numFmtId="1" fontId="26" fillId="2" borderId="0" xfId="2" applyNumberFormat="1" applyFont="1" applyFill="1" applyAlignment="1">
      <alignment vertical="center"/>
    </xf>
    <xf numFmtId="0" fontId="26" fillId="2" borderId="0" xfId="2" applyNumberFormat="1" applyFont="1" applyFill="1" applyAlignment="1">
      <alignment vertical="center"/>
    </xf>
    <xf numFmtId="0" fontId="26" fillId="2" borderId="0" xfId="0" applyNumberFormat="1" applyFont="1" applyFill="1" applyAlignment="1"/>
    <xf numFmtId="0" fontId="27" fillId="2" borderId="0" xfId="2" applyNumberFormat="1" applyFont="1" applyFill="1" applyAlignment="1">
      <alignment vertical="center"/>
    </xf>
    <xf numFmtId="0" fontId="29" fillId="2" borderId="0" xfId="2" applyNumberFormat="1" applyFont="1" applyFill="1" applyAlignment="1">
      <alignment vertical="center"/>
    </xf>
    <xf numFmtId="164" fontId="26" fillId="2" borderId="0" xfId="1" applyNumberFormat="1" applyFont="1" applyFill="1" applyAlignment="1">
      <alignment vertical="center"/>
    </xf>
    <xf numFmtId="167" fontId="26" fillId="2" borderId="0" xfId="2" applyNumberFormat="1" applyFont="1" applyFill="1" applyAlignment="1">
      <alignment vertical="center"/>
    </xf>
    <xf numFmtId="0" fontId="30" fillId="2" borderId="0" xfId="2" applyNumberFormat="1" applyFont="1" applyFill="1" applyAlignment="1">
      <alignment vertical="center"/>
    </xf>
    <xf numFmtId="0" fontId="31" fillId="2" borderId="0" xfId="2" applyNumberFormat="1" applyFont="1" applyFill="1" applyAlignment="1">
      <alignment horizontal="left" vertical="center"/>
    </xf>
    <xf numFmtId="0" fontId="28" fillId="2" borderId="0" xfId="2" applyNumberFormat="1" applyFont="1" applyFill="1" applyAlignment="1">
      <alignment vertical="center"/>
    </xf>
    <xf numFmtId="0" fontId="32" fillId="2" borderId="26" xfId="2" applyNumberFormat="1" applyFont="1" applyFill="1" applyBorder="1" applyAlignment="1">
      <alignment horizontal="left" vertical="center"/>
    </xf>
    <xf numFmtId="0" fontId="26" fillId="2" borderId="26" xfId="2" applyNumberFormat="1" applyFont="1" applyFill="1" applyBorder="1" applyAlignment="1">
      <alignment vertical="center"/>
    </xf>
    <xf numFmtId="3" fontId="33" fillId="2" borderId="17" xfId="2" applyNumberFormat="1" applyFont="1" applyFill="1" applyBorder="1" applyAlignment="1"/>
    <xf numFmtId="0" fontId="34" fillId="2" borderId="0" xfId="2" applyNumberFormat="1" applyFont="1" applyFill="1" applyAlignment="1">
      <alignment vertical="center"/>
    </xf>
    <xf numFmtId="0" fontId="33" fillId="2" borderId="28" xfId="2" applyNumberFormat="1" applyFont="1" applyFill="1" applyBorder="1" applyAlignment="1"/>
    <xf numFmtId="0" fontId="26" fillId="2" borderId="28" xfId="2" applyNumberFormat="1" applyFont="1" applyFill="1" applyBorder="1" applyAlignment="1">
      <alignment vertical="center"/>
    </xf>
    <xf numFmtId="0" fontId="35" fillId="2" borderId="18" xfId="2" applyNumberFormat="1" applyFont="1" applyFill="1" applyBorder="1" applyAlignment="1">
      <alignment vertical="center"/>
    </xf>
    <xf numFmtId="1" fontId="35" fillId="2" borderId="18" xfId="2" applyNumberFormat="1" applyFont="1" applyFill="1" applyBorder="1" applyAlignment="1">
      <alignment horizontal="center" vertical="center"/>
    </xf>
    <xf numFmtId="3" fontId="34" fillId="2" borderId="0" xfId="2" applyNumberFormat="1" applyFont="1" applyFill="1" applyAlignment="1">
      <alignment horizontal="left" vertical="center" indent="1"/>
    </xf>
    <xf numFmtId="179" fontId="34" fillId="2" borderId="0" xfId="3" applyNumberFormat="1" applyFont="1" applyFill="1" applyBorder="1" applyAlignment="1">
      <alignment horizontal="center" vertical="center"/>
    </xf>
    <xf numFmtId="3" fontId="34" fillId="2" borderId="0" xfId="2" applyNumberFormat="1" applyFont="1" applyFill="1" applyAlignment="1">
      <alignment horizontal="left" vertical="center" indent="2"/>
    </xf>
    <xf numFmtId="9" fontId="34" fillId="2" borderId="0" xfId="3" applyNumberFormat="1" applyFont="1" applyFill="1" applyBorder="1" applyAlignment="1">
      <alignment horizontal="center" vertical="center"/>
    </xf>
    <xf numFmtId="171" fontId="34" fillId="2" borderId="0" xfId="3" applyNumberFormat="1" applyFont="1" applyFill="1" applyBorder="1" applyAlignment="1">
      <alignment horizontal="center" vertical="center"/>
    </xf>
    <xf numFmtId="0" fontId="26" fillId="2" borderId="0" xfId="2" applyNumberFormat="1" applyFont="1" applyFill="1" applyAlignment="1"/>
    <xf numFmtId="3" fontId="33" fillId="2" borderId="28" xfId="2" applyNumberFormat="1" applyFont="1" applyFill="1" applyBorder="1" applyAlignment="1"/>
    <xf numFmtId="3" fontId="35" fillId="2" borderId="28" xfId="2" applyNumberFormat="1" applyFont="1" applyFill="1" applyBorder="1" applyAlignment="1">
      <alignment vertical="center"/>
    </xf>
    <xf numFmtId="169" fontId="26" fillId="2" borderId="0" xfId="2" applyNumberFormat="1" applyFont="1" applyFill="1" applyAlignment="1">
      <alignment vertical="center"/>
    </xf>
    <xf numFmtId="3" fontId="35" fillId="2" borderId="26" xfId="2" applyNumberFormat="1" applyFont="1" applyFill="1" applyBorder="1" applyAlignment="1">
      <alignment vertical="center"/>
    </xf>
    <xf numFmtId="165" fontId="34" fillId="2" borderId="26" xfId="2" applyFont="1" applyFill="1" applyBorder="1" applyAlignment="1">
      <alignment vertical="center"/>
    </xf>
    <xf numFmtId="167" fontId="35" fillId="2" borderId="0" xfId="3" applyNumberFormat="1" applyFont="1" applyFill="1" applyBorder="1" applyAlignment="1">
      <alignment horizontal="center" vertical="center"/>
    </xf>
    <xf numFmtId="0" fontId="26" fillId="2" borderId="0" xfId="2" applyNumberFormat="1" applyFont="1" applyFill="1" applyAlignment="1">
      <alignment horizontal="center" vertical="center"/>
    </xf>
    <xf numFmtId="3" fontId="35" fillId="2" borderId="0" xfId="2" applyNumberFormat="1" applyFont="1" applyFill="1" applyAlignment="1">
      <alignment horizontal="left" vertical="center"/>
    </xf>
    <xf numFmtId="167" fontId="35" fillId="6" borderId="0" xfId="3" applyNumberFormat="1" applyFont="1" applyFill="1" applyBorder="1" applyAlignment="1">
      <alignment horizontal="center" vertical="center"/>
    </xf>
    <xf numFmtId="170" fontId="35" fillId="2" borderId="0" xfId="3" applyNumberFormat="1" applyFont="1" applyFill="1" applyBorder="1" applyAlignment="1">
      <alignment horizontal="center" vertical="center"/>
    </xf>
    <xf numFmtId="0" fontId="35" fillId="2" borderId="0" xfId="0" applyNumberFormat="1" applyFont="1" applyFill="1" applyAlignment="1">
      <alignment horizontal="center"/>
    </xf>
    <xf numFmtId="0" fontId="34" fillId="2" borderId="0" xfId="0" applyNumberFormat="1" applyFont="1" applyFill="1" applyAlignment="1"/>
    <xf numFmtId="0" fontId="37" fillId="2" borderId="0" xfId="2" applyNumberFormat="1" applyFont="1" applyFill="1" applyAlignment="1">
      <alignment vertical="center"/>
    </xf>
    <xf numFmtId="0" fontId="35" fillId="2" borderId="27" xfId="2" applyNumberFormat="1" applyFont="1" applyFill="1" applyBorder="1" applyAlignment="1">
      <alignment vertical="center"/>
    </xf>
    <xf numFmtId="167" fontId="35" fillId="6" borderId="27" xfId="3" applyNumberFormat="1" applyFont="1" applyFill="1" applyBorder="1" applyAlignment="1">
      <alignment horizontal="center" vertical="center"/>
    </xf>
    <xf numFmtId="170" fontId="35" fillId="2" borderId="27" xfId="3" applyNumberFormat="1" applyFont="1" applyFill="1" applyBorder="1" applyAlignment="1">
      <alignment horizontal="center" vertical="center"/>
    </xf>
    <xf numFmtId="167" fontId="35" fillId="2" borderId="27" xfId="3" applyNumberFormat="1" applyFont="1" applyFill="1" applyBorder="1" applyAlignment="1">
      <alignment horizontal="center" vertical="center"/>
    </xf>
    <xf numFmtId="165" fontId="35" fillId="2" borderId="26" xfId="2" applyFont="1" applyFill="1" applyBorder="1" applyAlignment="1">
      <alignment vertical="center"/>
    </xf>
    <xf numFmtId="1" fontId="35" fillId="2" borderId="26" xfId="2" applyNumberFormat="1" applyFont="1" applyFill="1" applyBorder="1" applyAlignment="1">
      <alignment horizontal="center" vertical="center"/>
    </xf>
    <xf numFmtId="165" fontId="35" fillId="2" borderId="26" xfId="2" applyFont="1" applyFill="1" applyBorder="1" applyAlignment="1">
      <alignment horizontal="center" vertical="center"/>
    </xf>
    <xf numFmtId="3" fontId="34" fillId="2" borderId="0" xfId="2" applyNumberFormat="1" applyFont="1" applyFill="1" applyAlignment="1">
      <alignment vertical="center"/>
    </xf>
    <xf numFmtId="167" fontId="34" fillId="6" borderId="0" xfId="2" applyNumberFormat="1" applyFont="1" applyFill="1" applyAlignment="1">
      <alignment horizontal="center" vertical="center"/>
    </xf>
    <xf numFmtId="167" fontId="34" fillId="2" borderId="0" xfId="2" applyNumberFormat="1" applyFont="1" applyFill="1" applyAlignment="1">
      <alignment horizontal="center" vertical="center"/>
    </xf>
    <xf numFmtId="3" fontId="35" fillId="2" borderId="0" xfId="2" applyNumberFormat="1" applyFont="1" applyFill="1" applyAlignment="1">
      <alignment vertical="center"/>
    </xf>
    <xf numFmtId="0" fontId="35" fillId="2" borderId="0" xfId="2" applyNumberFormat="1" applyFont="1" applyFill="1" applyAlignment="1">
      <alignment vertical="center"/>
    </xf>
    <xf numFmtId="174" fontId="35" fillId="6" borderId="26" xfId="3" applyNumberFormat="1" applyFont="1" applyFill="1" applyBorder="1" applyAlignment="1">
      <alignment horizontal="center" vertical="center"/>
    </xf>
    <xf numFmtId="172" fontId="35" fillId="2" borderId="26" xfId="3" applyNumberFormat="1" applyFont="1" applyFill="1" applyBorder="1" applyAlignment="1">
      <alignment horizontal="center" vertical="center"/>
    </xf>
    <xf numFmtId="167" fontId="35" fillId="2" borderId="26" xfId="2" applyNumberFormat="1" applyFont="1" applyFill="1" applyBorder="1" applyAlignment="1">
      <alignment horizontal="center" vertical="center"/>
    </xf>
    <xf numFmtId="0" fontId="35" fillId="2" borderId="0" xfId="2" applyNumberFormat="1" applyFont="1" applyFill="1" applyAlignment="1">
      <alignment horizontal="right" vertical="center"/>
    </xf>
    <xf numFmtId="2" fontId="26" fillId="2" borderId="0" xfId="2" applyNumberFormat="1" applyFont="1" applyFill="1" applyAlignment="1">
      <alignment vertical="center"/>
    </xf>
    <xf numFmtId="166" fontId="26" fillId="2" borderId="0" xfId="2" applyNumberFormat="1" applyFont="1" applyFill="1" applyAlignment="1">
      <alignment vertical="center"/>
    </xf>
    <xf numFmtId="0" fontId="40" fillId="2" borderId="0" xfId="2" applyNumberFormat="1" applyFont="1" applyFill="1" applyAlignment="1">
      <alignment vertical="center"/>
    </xf>
    <xf numFmtId="0" fontId="32" fillId="2" borderId="19" xfId="2" applyNumberFormat="1" applyFont="1" applyFill="1" applyBorder="1" applyAlignment="1">
      <alignment horizontal="left" vertical="center"/>
    </xf>
    <xf numFmtId="0" fontId="26" fillId="2" borderId="19" xfId="2" applyNumberFormat="1" applyFont="1" applyFill="1" applyBorder="1" applyAlignment="1">
      <alignment vertical="center"/>
    </xf>
    <xf numFmtId="0" fontId="35" fillId="2" borderId="26" xfId="2" applyNumberFormat="1" applyFont="1" applyFill="1" applyBorder="1" applyAlignment="1">
      <alignment vertical="center"/>
    </xf>
    <xf numFmtId="174" fontId="34" fillId="6" borderId="0" xfId="3" applyNumberFormat="1" applyFont="1" applyFill="1" applyBorder="1" applyAlignment="1">
      <alignment horizontal="center" vertical="center"/>
    </xf>
    <xf numFmtId="172" fontId="34" fillId="2" borderId="0" xfId="3" applyNumberFormat="1" applyFont="1" applyFill="1" applyBorder="1" applyAlignment="1">
      <alignment horizontal="center" vertical="center"/>
    </xf>
    <xf numFmtId="172" fontId="34" fillId="6" borderId="0" xfId="3" applyNumberFormat="1" applyFont="1" applyFill="1" applyBorder="1" applyAlignment="1">
      <alignment horizontal="center" vertical="center"/>
    </xf>
    <xf numFmtId="167" fontId="34" fillId="2" borderId="0" xfId="3" applyNumberFormat="1" applyFont="1" applyFill="1" applyBorder="1" applyAlignment="1">
      <alignment horizontal="center" vertical="center"/>
    </xf>
    <xf numFmtId="174" fontId="34" fillId="2" borderId="0" xfId="3" applyNumberFormat="1" applyFont="1" applyFill="1" applyBorder="1" applyAlignment="1">
      <alignment horizontal="center" vertical="center"/>
    </xf>
    <xf numFmtId="174" fontId="35" fillId="6" borderId="0" xfId="3" applyNumberFormat="1" applyFont="1" applyFill="1" applyBorder="1" applyAlignment="1">
      <alignment horizontal="center" vertical="center"/>
    </xf>
    <xf numFmtId="172" fontId="35" fillId="2" borderId="0" xfId="3" applyNumberFormat="1" applyFont="1" applyFill="1" applyBorder="1" applyAlignment="1">
      <alignment horizontal="center" vertical="center"/>
    </xf>
    <xf numFmtId="172" fontId="35" fillId="6" borderId="0" xfId="3" applyNumberFormat="1" applyFont="1" applyFill="1" applyBorder="1" applyAlignment="1">
      <alignment horizontal="center" vertical="center"/>
    </xf>
    <xf numFmtId="174" fontId="35" fillId="2" borderId="0" xfId="3" applyNumberFormat="1" applyFont="1" applyFill="1" applyBorder="1" applyAlignment="1">
      <alignment horizontal="center" vertical="center"/>
    </xf>
    <xf numFmtId="178" fontId="26" fillId="2" borderId="0" xfId="2" applyNumberFormat="1" applyFont="1" applyFill="1" applyAlignment="1">
      <alignment vertical="center"/>
    </xf>
    <xf numFmtId="172" fontId="26" fillId="2" borderId="0" xfId="2" applyNumberFormat="1" applyFont="1" applyFill="1" applyAlignment="1">
      <alignment vertical="center"/>
    </xf>
    <xf numFmtId="172" fontId="35" fillId="6" borderId="26" xfId="3" applyNumberFormat="1" applyFont="1" applyFill="1" applyBorder="1" applyAlignment="1">
      <alignment horizontal="center" vertical="center"/>
    </xf>
    <xf numFmtId="167" fontId="35" fillId="2" borderId="26" xfId="3" applyNumberFormat="1" applyFont="1" applyFill="1" applyBorder="1" applyAlignment="1">
      <alignment horizontal="center" vertical="center"/>
    </xf>
    <xf numFmtId="3" fontId="35" fillId="2" borderId="27" xfId="2" applyNumberFormat="1" applyFont="1" applyFill="1" applyBorder="1" applyAlignment="1">
      <alignment vertical="center"/>
    </xf>
    <xf numFmtId="174" fontId="35" fillId="6" borderId="27" xfId="3" applyNumberFormat="1" applyFont="1" applyFill="1" applyBorder="1" applyAlignment="1">
      <alignment horizontal="center" vertical="center"/>
    </xf>
    <xf numFmtId="172" fontId="35" fillId="2" borderId="27" xfId="3" applyNumberFormat="1" applyFont="1" applyFill="1" applyBorder="1" applyAlignment="1">
      <alignment horizontal="center" vertical="center"/>
    </xf>
    <xf numFmtId="172" fontId="35" fillId="6" borderId="27" xfId="3" applyNumberFormat="1" applyFont="1" applyFill="1" applyBorder="1" applyAlignment="1">
      <alignment horizontal="center" vertical="center"/>
    </xf>
    <xf numFmtId="3" fontId="35" fillId="2" borderId="16" xfId="2" applyNumberFormat="1" applyFont="1" applyFill="1" applyBorder="1" applyAlignment="1">
      <alignment vertical="center"/>
    </xf>
    <xf numFmtId="174" fontId="35" fillId="2" borderId="16" xfId="3" applyNumberFormat="1" applyFont="1" applyFill="1" applyBorder="1" applyAlignment="1">
      <alignment horizontal="center" vertical="center"/>
    </xf>
    <xf numFmtId="174" fontId="35" fillId="2" borderId="26" xfId="3" applyNumberFormat="1" applyFont="1" applyFill="1" applyBorder="1" applyAlignment="1">
      <alignment horizontal="center" vertical="center"/>
    </xf>
    <xf numFmtId="174" fontId="35" fillId="2" borderId="27" xfId="3" applyNumberFormat="1" applyFont="1" applyFill="1" applyBorder="1" applyAlignment="1">
      <alignment horizontal="center" vertical="center"/>
    </xf>
    <xf numFmtId="0" fontId="35" fillId="2" borderId="16" xfId="2" applyNumberFormat="1" applyFont="1" applyFill="1" applyBorder="1" applyAlignment="1">
      <alignment vertical="center"/>
    </xf>
    <xf numFmtId="0" fontId="35" fillId="2" borderId="28" xfId="2" applyNumberFormat="1" applyFont="1" applyFill="1" applyBorder="1" applyAlignment="1">
      <alignment vertical="center"/>
    </xf>
    <xf numFmtId="172" fontId="34" fillId="2" borderId="0" xfId="2" applyNumberFormat="1" applyFont="1" applyFill="1" applyAlignment="1">
      <alignment vertical="center"/>
    </xf>
    <xf numFmtId="0" fontId="35" fillId="2" borderId="26" xfId="2" applyNumberFormat="1" applyFont="1" applyFill="1" applyBorder="1" applyAlignment="1">
      <alignment horizontal="left" vertical="center"/>
    </xf>
    <xf numFmtId="0" fontId="36" fillId="2" borderId="0" xfId="2" applyNumberFormat="1" applyFont="1" applyFill="1" applyAlignment="1">
      <alignment vertical="center"/>
    </xf>
    <xf numFmtId="0" fontId="41" fillId="2" borderId="0" xfId="2" applyNumberFormat="1" applyFont="1" applyFill="1" applyAlignment="1">
      <alignment vertical="center"/>
    </xf>
    <xf numFmtId="172" fontId="34" fillId="2" borderId="0" xfId="2" applyNumberFormat="1" applyFont="1" applyFill="1" applyAlignment="1">
      <alignment horizontal="center" vertical="center"/>
    </xf>
    <xf numFmtId="172" fontId="34" fillId="6" borderId="0" xfId="2" applyNumberFormat="1" applyFont="1" applyFill="1" applyAlignment="1">
      <alignment horizontal="center" vertical="center"/>
    </xf>
    <xf numFmtId="177" fontId="26" fillId="2" borderId="0" xfId="2" applyNumberFormat="1" applyFont="1" applyFill="1" applyAlignment="1">
      <alignment vertical="center"/>
    </xf>
    <xf numFmtId="174" fontId="35" fillId="2" borderId="0" xfId="3" quotePrefix="1" applyNumberFormat="1" applyFont="1" applyFill="1" applyBorder="1" applyAlignment="1">
      <alignment horizontal="center" vertical="center"/>
    </xf>
    <xf numFmtId="174" fontId="35" fillId="2" borderId="26" xfId="3" quotePrefix="1" applyNumberFormat="1" applyFont="1" applyFill="1" applyBorder="1" applyAlignment="1">
      <alignment horizontal="center" vertical="center"/>
    </xf>
    <xf numFmtId="0" fontId="35" fillId="2" borderId="27" xfId="2" applyNumberFormat="1" applyFont="1" applyFill="1" applyBorder="1" applyAlignment="1">
      <alignment horizontal="center" vertical="center"/>
    </xf>
    <xf numFmtId="167" fontId="35" fillId="2" borderId="27" xfId="2" applyNumberFormat="1" applyFont="1" applyFill="1" applyBorder="1" applyAlignment="1">
      <alignment horizontal="center" vertical="center"/>
    </xf>
    <xf numFmtId="0" fontId="34" fillId="2" borderId="0" xfId="2" applyNumberFormat="1" applyFont="1" applyFill="1" applyAlignment="1">
      <alignment horizontal="center" vertical="center"/>
    </xf>
    <xf numFmtId="177" fontId="34" fillId="2" borderId="0" xfId="2" applyNumberFormat="1" applyFont="1" applyFill="1" applyAlignment="1">
      <alignment horizontal="center" vertical="center"/>
    </xf>
    <xf numFmtId="0" fontId="34" fillId="2" borderId="0" xfId="2" quotePrefix="1" applyNumberFormat="1" applyFont="1" applyFill="1" applyAlignment="1">
      <alignment vertical="center"/>
    </xf>
    <xf numFmtId="165" fontId="34" fillId="2" borderId="0" xfId="2" quotePrefix="1" applyFont="1" applyFill="1" applyAlignment="1">
      <alignment vertical="center"/>
    </xf>
    <xf numFmtId="0" fontId="43" fillId="2" borderId="0" xfId="2" applyNumberFormat="1" applyFont="1" applyFill="1" applyAlignment="1">
      <alignment horizontal="left" vertical="center"/>
    </xf>
    <xf numFmtId="9" fontId="2" fillId="7" borderId="13" xfId="1" applyFont="1" applyFill="1" applyBorder="1" applyAlignment="1"/>
    <xf numFmtId="9" fontId="3" fillId="7" borderId="15" xfId="1" applyFont="1" applyFill="1" applyBorder="1" applyAlignment="1"/>
    <xf numFmtId="0" fontId="44" fillId="9" borderId="0" xfId="0" applyNumberFormat="1" applyFont="1" applyFill="1" applyAlignment="1"/>
    <xf numFmtId="0" fontId="45" fillId="9" borderId="0" xfId="0" applyNumberFormat="1" applyFont="1" applyFill="1" applyAlignment="1"/>
    <xf numFmtId="0" fontId="2" fillId="8" borderId="12" xfId="0" applyNumberFormat="1" applyFont="1" applyFill="1" applyBorder="1" applyAlignment="1">
      <alignment horizontal="center"/>
    </xf>
    <xf numFmtId="0" fontId="2" fillId="8" borderId="0" xfId="0" applyNumberFormat="1" applyFont="1" applyFill="1" applyAlignment="1">
      <alignment horizontal="center"/>
    </xf>
    <xf numFmtId="0" fontId="2" fillId="8" borderId="13" xfId="0" applyNumberFormat="1" applyFont="1" applyFill="1" applyBorder="1" applyAlignment="1">
      <alignment horizontal="center"/>
    </xf>
    <xf numFmtId="3" fontId="2" fillId="7" borderId="0" xfId="1" applyNumberFormat="1" applyFont="1" applyFill="1" applyBorder="1" applyAlignment="1"/>
    <xf numFmtId="3" fontId="3" fillId="7" borderId="23" xfId="0" applyNumberFormat="1" applyFont="1" applyFill="1" applyBorder="1" applyAlignment="1"/>
    <xf numFmtId="0" fontId="35" fillId="2" borderId="26" xfId="2" applyNumberFormat="1" applyFont="1" applyFill="1" applyBorder="1" applyAlignment="1">
      <alignment horizontal="right" vertical="center"/>
    </xf>
    <xf numFmtId="0" fontId="35" fillId="2" borderId="26" xfId="2" applyNumberFormat="1" applyFont="1" applyFill="1" applyBorder="1" applyAlignment="1">
      <alignment horizontal="center" vertical="center"/>
    </xf>
    <xf numFmtId="0" fontId="26" fillId="2" borderId="0" xfId="2" applyNumberFormat="1" applyFont="1" applyFill="1" applyAlignment="1">
      <alignment horizontal="left" vertical="center"/>
    </xf>
    <xf numFmtId="0" fontId="46" fillId="2" borderId="0" xfId="2" applyNumberFormat="1" applyFont="1" applyFill="1" applyAlignment="1">
      <alignment vertical="center"/>
    </xf>
    <xf numFmtId="0" fontId="46" fillId="2" borderId="1" xfId="2" applyNumberFormat="1" applyFont="1" applyFill="1" applyBorder="1" applyAlignment="1">
      <alignment horizontal="center" vertical="center"/>
    </xf>
    <xf numFmtId="0" fontId="46" fillId="2" borderId="6" xfId="2" quotePrefix="1" applyNumberFormat="1" applyFont="1" applyFill="1" applyBorder="1" applyAlignment="1">
      <alignment horizontal="center" vertical="center"/>
    </xf>
    <xf numFmtId="0" fontId="46" fillId="2" borderId="6" xfId="2" applyNumberFormat="1" applyFont="1" applyFill="1" applyBorder="1" applyAlignment="1">
      <alignment horizontal="center" vertical="center"/>
    </xf>
    <xf numFmtId="170" fontId="35" fillId="6" borderId="0" xfId="2" applyNumberFormat="1" applyFont="1" applyFill="1" applyAlignment="1">
      <alignment horizontal="center" vertical="center"/>
    </xf>
    <xf numFmtId="9" fontId="2" fillId="0" borderId="13" xfId="1" applyFont="1" applyFill="1" applyBorder="1" applyAlignment="1"/>
    <xf numFmtId="0" fontId="2" fillId="0" borderId="0" xfId="0" applyNumberFormat="1" applyFont="1" applyAlignment="1"/>
    <xf numFmtId="0" fontId="2" fillId="0" borderId="12" xfId="0" applyNumberFormat="1" applyFont="1" applyBorder="1" applyAlignment="1"/>
    <xf numFmtId="0" fontId="3" fillId="0" borderId="14" xfId="0" applyNumberFormat="1" applyFont="1" applyBorder="1" applyAlignment="1"/>
    <xf numFmtId="9" fontId="3" fillId="0" borderId="15" xfId="1" applyFont="1" applyFill="1" applyBorder="1" applyAlignment="1"/>
    <xf numFmtId="0" fontId="2" fillId="0" borderId="13" xfId="0" applyNumberFormat="1" applyFont="1" applyBorder="1" applyAlignment="1"/>
    <xf numFmtId="3" fontId="2" fillId="0" borderId="13" xfId="1" applyNumberFormat="1" applyFont="1" applyFill="1" applyBorder="1" applyAlignment="1"/>
    <xf numFmtId="3" fontId="3" fillId="0" borderId="15" xfId="1" applyNumberFormat="1" applyFont="1" applyFill="1" applyBorder="1" applyAlignment="1"/>
    <xf numFmtId="9" fontId="2" fillId="0" borderId="0" xfId="1" applyFont="1" applyFill="1" applyAlignment="1"/>
    <xf numFmtId="0" fontId="3" fillId="0" borderId="0" xfId="0" applyNumberFormat="1" applyFont="1" applyAlignment="1"/>
    <xf numFmtId="9" fontId="3" fillId="0" borderId="0" xfId="1" applyFont="1" applyFill="1" applyBorder="1" applyAlignment="1"/>
    <xf numFmtId="3" fontId="2" fillId="0" borderId="0" xfId="1" applyNumberFormat="1" applyFont="1" applyFill="1" applyBorder="1" applyAlignment="1"/>
    <xf numFmtId="3" fontId="2" fillId="0" borderId="0" xfId="0" applyNumberFormat="1" applyFont="1" applyAlignment="1"/>
    <xf numFmtId="3" fontId="3" fillId="0" borderId="23" xfId="0" applyNumberFormat="1" applyFont="1" applyBorder="1" applyAlignment="1"/>
    <xf numFmtId="3" fontId="3" fillId="0" borderId="15" xfId="0" applyNumberFormat="1" applyFont="1" applyBorder="1" applyAlignment="1"/>
    <xf numFmtId="0" fontId="48" fillId="2" borderId="0" xfId="2" applyNumberFormat="1" applyFont="1" applyFill="1" applyAlignment="1">
      <alignment horizontal="centerContinuous" vertical="center"/>
    </xf>
    <xf numFmtId="9" fontId="26" fillId="2" borderId="0" xfId="2" applyNumberFormat="1" applyFont="1" applyFill="1" applyAlignment="1">
      <alignment vertical="center"/>
    </xf>
    <xf numFmtId="179" fontId="26" fillId="2" borderId="0" xfId="2" applyNumberFormat="1" applyFont="1" applyFill="1" applyAlignment="1">
      <alignment vertical="center"/>
    </xf>
    <xf numFmtId="0" fontId="40" fillId="0" borderId="0" xfId="2" applyNumberFormat="1" applyFont="1" applyAlignment="1">
      <alignment vertical="center"/>
    </xf>
    <xf numFmtId="3" fontId="49" fillId="2" borderId="17" xfId="2" applyNumberFormat="1" applyFont="1" applyFill="1" applyBorder="1" applyAlignment="1"/>
    <xf numFmtId="0" fontId="39" fillId="2" borderId="20" xfId="2" applyNumberFormat="1" applyFont="1" applyFill="1" applyBorder="1" applyAlignment="1">
      <alignment horizontal="left" vertical="center"/>
    </xf>
    <xf numFmtId="0" fontId="47" fillId="2" borderId="31" xfId="2" applyNumberFormat="1" applyFont="1" applyFill="1" applyBorder="1" applyAlignment="1">
      <alignment horizontal="centerContinuous" vertical="center"/>
    </xf>
    <xf numFmtId="0" fontId="6" fillId="0" borderId="38" xfId="2" applyNumberFormat="1" applyFont="1" applyBorder="1" applyAlignment="1">
      <alignment horizontal="center" vertical="center"/>
    </xf>
    <xf numFmtId="0" fontId="6" fillId="0" borderId="32" xfId="2" applyNumberFormat="1" applyFont="1" applyBorder="1" applyAlignment="1">
      <alignment horizontal="center" vertical="center"/>
    </xf>
    <xf numFmtId="0" fontId="7" fillId="0" borderId="4" xfId="2" applyNumberFormat="1" applyFont="1" applyBorder="1" applyAlignment="1">
      <alignment horizontal="center" vertical="center"/>
    </xf>
    <xf numFmtId="0" fontId="7" fillId="0" borderId="33" xfId="2" applyNumberFormat="1" applyFont="1" applyBorder="1" applyAlignment="1">
      <alignment horizontal="center" vertical="center"/>
    </xf>
    <xf numFmtId="0" fontId="7" fillId="0" borderId="0" xfId="2" applyNumberFormat="1" applyFont="1" applyAlignment="1">
      <alignment horizontal="center" vertical="center"/>
    </xf>
    <xf numFmtId="0" fontId="4" fillId="0" borderId="0" xfId="2" applyNumberFormat="1" applyFont="1" applyAlignment="1">
      <alignment vertical="center"/>
    </xf>
    <xf numFmtId="0" fontId="2" fillId="0" borderId="0" xfId="2" applyNumberFormat="1" applyFont="1" applyAlignment="1">
      <alignment vertical="center"/>
    </xf>
    <xf numFmtId="179" fontId="34" fillId="2" borderId="0" xfId="3" applyNumberFormat="1" applyFont="1" applyFill="1" applyAlignment="1">
      <alignment horizontal="center" vertical="center"/>
    </xf>
    <xf numFmtId="174" fontId="34" fillId="2" borderId="0" xfId="3" applyNumberFormat="1" applyFont="1" applyFill="1" applyAlignment="1">
      <alignment horizontal="center" vertical="center"/>
    </xf>
    <xf numFmtId="9" fontId="26" fillId="2" borderId="0" xfId="1" applyFont="1" applyFill="1" applyAlignment="1">
      <alignment vertical="center"/>
    </xf>
    <xf numFmtId="0" fontId="47" fillId="2" borderId="0" xfId="2" applyNumberFormat="1" applyFont="1" applyFill="1" applyAlignment="1"/>
    <xf numFmtId="0" fontId="50" fillId="2" borderId="0" xfId="2" applyNumberFormat="1" applyFont="1" applyFill="1" applyAlignment="1">
      <alignment vertical="center"/>
    </xf>
    <xf numFmtId="0" fontId="52" fillId="2" borderId="0" xfId="2" applyNumberFormat="1" applyFont="1" applyFill="1" applyAlignment="1">
      <alignment vertical="center"/>
    </xf>
    <xf numFmtId="173" fontId="3" fillId="10" borderId="0" xfId="0" applyNumberFormat="1" applyFont="1" applyFill="1" applyAlignment="1"/>
    <xf numFmtId="0" fontId="2" fillId="10" borderId="0" xfId="0" applyNumberFormat="1" applyFont="1" applyFill="1" applyAlignment="1"/>
    <xf numFmtId="0" fontId="34" fillId="2" borderId="26" xfId="2" applyNumberFormat="1" applyFont="1" applyFill="1" applyBorder="1" applyAlignment="1">
      <alignment vertical="center"/>
    </xf>
    <xf numFmtId="177" fontId="34" fillId="2" borderId="26" xfId="2" applyNumberFormat="1" applyFont="1" applyFill="1" applyBorder="1" applyAlignment="1">
      <alignment horizontal="center" vertical="center"/>
    </xf>
    <xf numFmtId="0" fontId="5" fillId="0" borderId="2" xfId="2" applyNumberFormat="1" applyFont="1" applyBorder="1" applyAlignment="1">
      <alignment horizontal="left" vertical="center"/>
    </xf>
    <xf numFmtId="0" fontId="5" fillId="0" borderId="35" xfId="2" applyNumberFormat="1" applyFont="1" applyBorder="1" applyAlignment="1">
      <alignment horizontal="left" vertical="center"/>
    </xf>
    <xf numFmtId="0" fontId="5" fillId="0" borderId="4" xfId="2" applyNumberFormat="1" applyFont="1" applyBorder="1" applyAlignment="1">
      <alignment horizontal="left" vertical="center"/>
    </xf>
    <xf numFmtId="0" fontId="5" fillId="0" borderId="5" xfId="2" applyNumberFormat="1" applyFont="1" applyBorder="1" applyAlignment="1">
      <alignment horizontal="left" vertical="center"/>
    </xf>
    <xf numFmtId="0" fontId="5" fillId="3" borderId="4" xfId="2" applyNumberFormat="1" applyFont="1" applyFill="1" applyBorder="1" applyAlignment="1">
      <alignment horizontal="left" vertical="center"/>
    </xf>
    <xf numFmtId="0" fontId="5" fillId="3" borderId="2" xfId="2" applyNumberFormat="1" applyFont="1" applyFill="1" applyBorder="1" applyAlignment="1">
      <alignment horizontal="left" vertical="center"/>
    </xf>
    <xf numFmtId="0" fontId="5" fillId="3" borderId="5" xfId="2" applyNumberFormat="1" applyFont="1" applyFill="1" applyBorder="1" applyAlignment="1">
      <alignment horizontal="left" vertical="center"/>
    </xf>
    <xf numFmtId="0" fontId="5" fillId="0" borderId="3" xfId="2" applyNumberFormat="1" applyFont="1" applyBorder="1" applyAlignment="1">
      <alignment horizontal="left" vertical="center"/>
    </xf>
    <xf numFmtId="0" fontId="5" fillId="0" borderId="33" xfId="2" applyNumberFormat="1" applyFont="1" applyBorder="1" applyAlignment="1">
      <alignment horizontal="left" vertical="center"/>
    </xf>
    <xf numFmtId="0" fontId="5" fillId="0" borderId="37" xfId="2" applyNumberFormat="1" applyFont="1" applyBorder="1" applyAlignment="1">
      <alignment horizontal="left" vertical="center"/>
    </xf>
    <xf numFmtId="0" fontId="5" fillId="3" borderId="33" xfId="2" applyNumberFormat="1" applyFont="1" applyFill="1" applyBorder="1" applyAlignment="1">
      <alignment horizontal="left" vertical="center"/>
    </xf>
    <xf numFmtId="0" fontId="5" fillId="3" borderId="35" xfId="2" applyNumberFormat="1" applyFont="1" applyFill="1" applyBorder="1" applyAlignment="1">
      <alignment horizontal="left" vertical="center"/>
    </xf>
    <xf numFmtId="0" fontId="5" fillId="3" borderId="37" xfId="2" applyNumberFormat="1" applyFont="1" applyFill="1" applyBorder="1" applyAlignment="1">
      <alignment horizontal="left" vertical="center"/>
    </xf>
    <xf numFmtId="183" fontId="26" fillId="2" borderId="0" xfId="2" applyNumberFormat="1" applyFont="1" applyFill="1" applyAlignment="1">
      <alignment vertical="center"/>
    </xf>
    <xf numFmtId="4" fontId="26" fillId="2" borderId="0" xfId="2" applyNumberFormat="1" applyFont="1" applyFill="1" applyAlignment="1">
      <alignment vertical="center"/>
    </xf>
    <xf numFmtId="0" fontId="48" fillId="2" borderId="0" xfId="2" applyNumberFormat="1" applyFont="1" applyFill="1" applyAlignment="1">
      <alignment vertical="center"/>
    </xf>
    <xf numFmtId="0" fontId="53" fillId="2" borderId="0" xfId="0" applyNumberFormat="1" applyFont="1" applyFill="1" applyAlignment="1"/>
    <xf numFmtId="3" fontId="0" fillId="0" borderId="0" xfId="0" applyNumberFormat="1" applyAlignment="1"/>
    <xf numFmtId="9" fontId="0" fillId="0" borderId="0" xfId="1" applyFont="1" applyAlignment="1"/>
    <xf numFmtId="3" fontId="54" fillId="2" borderId="0" xfId="2" applyNumberFormat="1" applyFont="1" applyFill="1" applyAlignment="1">
      <alignment horizontal="left" vertical="center" indent="1"/>
    </xf>
    <xf numFmtId="174" fontId="54" fillId="2" borderId="0" xfId="3" applyNumberFormat="1" applyFont="1" applyFill="1" applyBorder="1" applyAlignment="1">
      <alignment horizontal="center" vertical="center"/>
    </xf>
    <xf numFmtId="170" fontId="35" fillId="2" borderId="0" xfId="3" applyNumberFormat="1" applyFont="1" applyFill="1" applyAlignment="1">
      <alignment horizontal="center" vertical="center"/>
    </xf>
    <xf numFmtId="184" fontId="26" fillId="2" borderId="0" xfId="2" applyNumberFormat="1" applyFont="1" applyFill="1" applyAlignment="1">
      <alignment vertical="center"/>
    </xf>
    <xf numFmtId="174" fontId="56" fillId="6" borderId="0" xfId="3" applyNumberFormat="1" applyFont="1" applyFill="1" applyBorder="1" applyAlignment="1">
      <alignment horizontal="center" vertical="center"/>
    </xf>
    <xf numFmtId="174" fontId="56" fillId="2" borderId="0" xfId="3" applyNumberFormat="1" applyFont="1" applyFill="1" applyBorder="1" applyAlignment="1">
      <alignment horizontal="center" vertical="center"/>
    </xf>
    <xf numFmtId="0" fontId="2" fillId="8" borderId="25" xfId="0" applyNumberFormat="1" applyFont="1" applyFill="1" applyBorder="1" applyAlignment="1">
      <alignment horizontal="center"/>
    </xf>
    <xf numFmtId="0" fontId="2" fillId="8" borderId="11" xfId="0" applyNumberFormat="1" applyFont="1" applyFill="1" applyBorder="1" applyAlignment="1">
      <alignment horizontal="center"/>
    </xf>
    <xf numFmtId="0" fontId="2" fillId="8" borderId="10" xfId="0" applyNumberFormat="1" applyFont="1" applyFill="1" applyBorder="1" applyAlignment="1"/>
    <xf numFmtId="0" fontId="2" fillId="8" borderId="11" xfId="0" applyNumberFormat="1" applyFont="1" applyFill="1" applyBorder="1" applyAlignment="1"/>
    <xf numFmtId="0" fontId="2" fillId="8" borderId="25" xfId="0" applyNumberFormat="1" applyFont="1" applyFill="1" applyBorder="1" applyAlignment="1"/>
    <xf numFmtId="172" fontId="35" fillId="0" borderId="27" xfId="3" applyNumberFormat="1" applyFont="1" applyFill="1" applyBorder="1" applyAlignment="1">
      <alignment horizontal="center" vertical="center"/>
    </xf>
    <xf numFmtId="185" fontId="0" fillId="0" borderId="0" xfId="0" applyNumberFormat="1" applyAlignment="1"/>
    <xf numFmtId="3" fontId="34" fillId="2" borderId="0" xfId="2" applyNumberFormat="1" applyFont="1" applyFill="1" applyAlignment="1">
      <alignment horizontal="center" vertical="center"/>
    </xf>
    <xf numFmtId="186" fontId="2" fillId="0" borderId="13" xfId="1" applyNumberFormat="1" applyFont="1" applyFill="1" applyBorder="1" applyAlignment="1">
      <alignment horizontal="center"/>
    </xf>
    <xf numFmtId="186" fontId="3" fillId="0" borderId="15" xfId="0" applyNumberFormat="1" applyFont="1" applyBorder="1" applyAlignment="1">
      <alignment horizontal="center"/>
    </xf>
    <xf numFmtId="187" fontId="34" fillId="2" borderId="0" xfId="2" applyNumberFormat="1" applyFont="1" applyFill="1" applyAlignment="1">
      <alignment horizontal="center" vertical="center"/>
    </xf>
    <xf numFmtId="188" fontId="0" fillId="0" borderId="0" xfId="0" applyNumberFormat="1" applyAlignment="1"/>
    <xf numFmtId="167" fontId="34" fillId="2" borderId="0" xfId="3" applyNumberFormat="1" applyFont="1" applyFill="1" applyAlignment="1">
      <alignment horizontal="center" vertical="center"/>
    </xf>
    <xf numFmtId="0" fontId="2" fillId="9" borderId="0" xfId="0" applyNumberFormat="1" applyFont="1" applyFill="1" applyAlignment="1"/>
    <xf numFmtId="0" fontId="2" fillId="7" borderId="0" xfId="0" applyNumberFormat="1" applyFont="1" applyFill="1" applyAlignment="1"/>
    <xf numFmtId="0" fontId="5" fillId="2" borderId="35" xfId="2" applyNumberFormat="1" applyFont="1" applyFill="1" applyBorder="1" applyAlignment="1">
      <alignment horizontal="left" vertical="center"/>
    </xf>
    <xf numFmtId="189" fontId="26" fillId="2" borderId="0" xfId="2" applyNumberFormat="1" applyFont="1" applyFill="1" applyAlignment="1">
      <alignment vertical="center"/>
    </xf>
    <xf numFmtId="0" fontId="35" fillId="2" borderId="39" xfId="2" applyNumberFormat="1" applyFont="1" applyFill="1" applyBorder="1" applyAlignment="1">
      <alignment vertical="center"/>
    </xf>
    <xf numFmtId="177" fontId="35" fillId="2" borderId="28" xfId="2" applyNumberFormat="1" applyFont="1" applyFill="1" applyBorder="1" applyAlignment="1">
      <alignment vertical="center"/>
    </xf>
    <xf numFmtId="177" fontId="26" fillId="2" borderId="0" xfId="0" applyNumberFormat="1" applyFont="1" applyFill="1" applyAlignment="1"/>
    <xf numFmtId="177" fontId="35" fillId="2" borderId="26" xfId="2" applyNumberFormat="1" applyFont="1" applyFill="1" applyBorder="1" applyAlignment="1">
      <alignment horizontal="center" vertical="center"/>
    </xf>
    <xf numFmtId="180" fontId="26" fillId="2" borderId="0" xfId="2" applyNumberFormat="1" applyFont="1" applyFill="1" applyAlignment="1">
      <alignment vertical="center"/>
    </xf>
    <xf numFmtId="9" fontId="26" fillId="2" borderId="0" xfId="1" applyFont="1" applyFill="1" applyAlignment="1"/>
    <xf numFmtId="190" fontId="26" fillId="2" borderId="0" xfId="2" applyNumberFormat="1" applyFont="1" applyFill="1" applyAlignment="1">
      <alignment vertical="center"/>
    </xf>
    <xf numFmtId="191" fontId="26" fillId="2" borderId="0" xfId="2" applyNumberFormat="1" applyFont="1" applyFill="1" applyAlignment="1">
      <alignment vertical="center"/>
    </xf>
    <xf numFmtId="181" fontId="26" fillId="2" borderId="0" xfId="2" applyNumberFormat="1" applyFont="1" applyFill="1" applyAlignment="1">
      <alignment vertical="center"/>
    </xf>
    <xf numFmtId="9" fontId="26" fillId="2" borderId="0" xfId="2" applyNumberFormat="1" applyFont="1" applyFill="1" applyAlignment="1">
      <alignment horizontal="center" vertical="center"/>
    </xf>
    <xf numFmtId="0" fontId="26" fillId="2" borderId="0" xfId="0" applyNumberFormat="1" applyFont="1" applyFill="1" applyAlignment="1">
      <alignment horizontal="center" vertical="center"/>
    </xf>
    <xf numFmtId="177" fontId="56" fillId="2" borderId="0" xfId="2" applyNumberFormat="1" applyFont="1" applyFill="1" applyAlignment="1">
      <alignment horizontal="center" vertical="center"/>
    </xf>
    <xf numFmtId="3" fontId="2" fillId="0" borderId="13" xfId="1" applyNumberFormat="1" applyFont="1" applyBorder="1" applyAlignment="1"/>
    <xf numFmtId="3" fontId="3" fillId="0" borderId="15" xfId="1" applyNumberFormat="1" applyFont="1" applyBorder="1" applyAlignment="1"/>
    <xf numFmtId="9" fontId="2" fillId="0" borderId="13" xfId="1" applyFont="1" applyBorder="1" applyAlignment="1"/>
    <xf numFmtId="9" fontId="3" fillId="0" borderId="15" xfId="1" applyFont="1" applyBorder="1" applyAlignment="1"/>
    <xf numFmtId="174" fontId="35" fillId="2" borderId="0" xfId="3" applyNumberFormat="1" applyFont="1" applyFill="1" applyAlignment="1">
      <alignment horizontal="center" vertical="center"/>
    </xf>
    <xf numFmtId="174" fontId="54" fillId="2" borderId="0" xfId="3" applyNumberFormat="1" applyFont="1" applyFill="1" applyAlignment="1">
      <alignment horizontal="center" vertical="center"/>
    </xf>
    <xf numFmtId="9" fontId="2" fillId="4" borderId="13" xfId="1" applyFont="1" applyFill="1" applyBorder="1" applyAlignment="1"/>
    <xf numFmtId="164" fontId="2" fillId="0" borderId="13" xfId="1" applyNumberFormat="1" applyFont="1" applyFill="1" applyBorder="1" applyAlignment="1"/>
    <xf numFmtId="175" fontId="35" fillId="2" borderId="26" xfId="1" applyNumberFormat="1" applyFont="1" applyFill="1" applyBorder="1" applyAlignment="1">
      <alignment horizontal="center" vertical="center"/>
    </xf>
    <xf numFmtId="0" fontId="47" fillId="2" borderId="0" xfId="2" applyNumberFormat="1" applyFont="1" applyFill="1" applyAlignment="1">
      <alignment horizontal="center" vertical="center"/>
    </xf>
    <xf numFmtId="179" fontId="35" fillId="2" borderId="0" xfId="3" applyNumberFormat="1" applyFont="1" applyFill="1" applyAlignment="1">
      <alignment horizontal="center" vertical="center"/>
    </xf>
    <xf numFmtId="164" fontId="35" fillId="6" borderId="26" xfId="1" applyNumberFormat="1" applyFont="1" applyFill="1" applyBorder="1" applyAlignment="1">
      <alignment horizontal="center" vertical="center"/>
    </xf>
    <xf numFmtId="164" fontId="35" fillId="2" borderId="26" xfId="1" applyNumberFormat="1" applyFont="1" applyFill="1" applyBorder="1" applyAlignment="1">
      <alignment horizontal="center" vertical="center"/>
    </xf>
    <xf numFmtId="0" fontId="29" fillId="2" borderId="0" xfId="2" applyNumberFormat="1" applyFont="1" applyFill="1" applyAlignment="1">
      <alignment horizontal="center" vertical="center"/>
    </xf>
    <xf numFmtId="0" fontId="33" fillId="2" borderId="28" xfId="2" applyNumberFormat="1" applyFont="1" applyFill="1" applyBorder="1" applyAlignment="1">
      <alignment horizontal="center"/>
    </xf>
    <xf numFmtId="192" fontId="26" fillId="2" borderId="0" xfId="2" applyNumberFormat="1" applyFont="1" applyFill="1" applyAlignment="1"/>
    <xf numFmtId="174" fontId="34" fillId="2" borderId="0" xfId="2" applyNumberFormat="1" applyFont="1" applyFill="1" applyAlignment="1">
      <alignment horizontal="center" vertical="center"/>
    </xf>
    <xf numFmtId="0" fontId="33" fillId="2" borderId="28" xfId="2" applyNumberFormat="1" applyFont="1" applyFill="1" applyBorder="1" applyAlignment="1">
      <alignment horizontal="centerContinuous"/>
    </xf>
    <xf numFmtId="0" fontId="48" fillId="2" borderId="40" xfId="2" applyNumberFormat="1" applyFont="1" applyFill="1" applyBorder="1" applyAlignment="1">
      <alignment horizontal="center" vertical="center"/>
    </xf>
    <xf numFmtId="3" fontId="57" fillId="2" borderId="0" xfId="2" applyNumberFormat="1" applyFont="1" applyFill="1" applyAlignment="1"/>
    <xf numFmtId="173" fontId="0" fillId="0" borderId="0" xfId="0" applyNumberFormat="1" applyAlignment="1"/>
    <xf numFmtId="0" fontId="58" fillId="2" borderId="0" xfId="2" applyNumberFormat="1" applyFont="1" applyFill="1" applyAlignment="1">
      <alignment vertical="center"/>
    </xf>
    <xf numFmtId="172" fontId="56" fillId="2" borderId="0" xfId="3" applyNumberFormat="1" applyFont="1" applyFill="1" applyBorder="1" applyAlignment="1">
      <alignment horizontal="center" vertical="center"/>
    </xf>
    <xf numFmtId="172" fontId="56" fillId="6" borderId="0" xfId="3" applyNumberFormat="1" applyFont="1" applyFill="1" applyBorder="1" applyAlignment="1">
      <alignment horizontal="center" vertical="center"/>
    </xf>
    <xf numFmtId="0" fontId="60" fillId="2" borderId="28" xfId="2" applyNumberFormat="1" applyFont="1" applyFill="1" applyBorder="1" applyAlignment="1">
      <alignment vertical="center"/>
    </xf>
    <xf numFmtId="0" fontId="60" fillId="2" borderId="26" xfId="2" applyNumberFormat="1" applyFont="1" applyFill="1" applyBorder="1" applyAlignment="1">
      <alignment vertical="center"/>
    </xf>
    <xf numFmtId="0" fontId="60" fillId="2" borderId="0" xfId="2" applyNumberFormat="1" applyFont="1" applyFill="1" applyAlignment="1">
      <alignment vertical="center"/>
    </xf>
    <xf numFmtId="172" fontId="56" fillId="6" borderId="0" xfId="2" applyNumberFormat="1" applyFont="1" applyFill="1" applyAlignment="1">
      <alignment horizontal="center" vertical="center"/>
    </xf>
    <xf numFmtId="9" fontId="0" fillId="0" borderId="0" xfId="0" applyNumberFormat="1" applyAlignment="1"/>
    <xf numFmtId="194" fontId="34" fillId="2" borderId="0" xfId="3" applyNumberFormat="1" applyFont="1" applyFill="1" applyBorder="1" applyAlignment="1">
      <alignment horizontal="center" vertical="center"/>
    </xf>
    <xf numFmtId="194" fontId="34" fillId="2" borderId="0" xfId="3" applyNumberFormat="1" applyFont="1" applyFill="1" applyAlignment="1">
      <alignment horizontal="center" vertical="center"/>
    </xf>
    <xf numFmtId="194" fontId="54" fillId="2" borderId="0" xfId="3" applyNumberFormat="1" applyFont="1" applyFill="1" applyBorder="1" applyAlignment="1">
      <alignment horizontal="center" vertical="center"/>
    </xf>
    <xf numFmtId="194" fontId="35" fillId="2" borderId="0" xfId="3" applyNumberFormat="1" applyFont="1" applyFill="1" applyBorder="1" applyAlignment="1">
      <alignment horizontal="center" vertical="center"/>
    </xf>
    <xf numFmtId="3" fontId="2" fillId="0" borderId="0" xfId="1" applyNumberFormat="1" applyFont="1" applyFill="1" applyBorder="1" applyAlignment="1">
      <alignment horizontal="center"/>
    </xf>
    <xf numFmtId="3" fontId="3" fillId="0" borderId="23" xfId="0" applyNumberFormat="1" applyFont="1" applyBorder="1" applyAlignment="1">
      <alignment horizontal="center"/>
    </xf>
    <xf numFmtId="3" fontId="34" fillId="4" borderId="0" xfId="2" applyNumberFormat="1" applyFont="1" applyFill="1" applyAlignment="1">
      <alignment horizontal="left" vertical="center" indent="1"/>
    </xf>
    <xf numFmtId="172" fontId="0" fillId="0" borderId="0" xfId="0" applyNumberFormat="1" applyAlignment="1"/>
    <xf numFmtId="172" fontId="61" fillId="2" borderId="0" xfId="0" applyNumberFormat="1" applyFont="1" applyFill="1" applyAlignment="1"/>
    <xf numFmtId="180" fontId="0" fillId="0" borderId="0" xfId="0" applyNumberFormat="1" applyAlignment="1"/>
    <xf numFmtId="9" fontId="26" fillId="2" borderId="0" xfId="3" applyNumberFormat="1" applyFont="1" applyFill="1" applyBorder="1" applyAlignment="1">
      <alignment horizontal="center" vertical="center"/>
    </xf>
    <xf numFmtId="9" fontId="2" fillId="0" borderId="0" xfId="0" applyNumberFormat="1" applyFont="1" applyAlignment="1"/>
    <xf numFmtId="174" fontId="26" fillId="2" borderId="0" xfId="2" applyNumberFormat="1" applyFont="1" applyFill="1" applyAlignment="1">
      <alignment vertical="center"/>
    </xf>
    <xf numFmtId="172" fontId="56" fillId="0" borderId="0" xfId="3" applyNumberFormat="1" applyFont="1" applyFill="1" applyBorder="1" applyAlignment="1">
      <alignment horizontal="center" vertical="center"/>
    </xf>
    <xf numFmtId="167" fontId="56" fillId="6" borderId="0" xfId="3" applyNumberFormat="1" applyFont="1" applyFill="1" applyBorder="1" applyAlignment="1">
      <alignment horizontal="center" vertical="center"/>
    </xf>
    <xf numFmtId="167" fontId="56" fillId="2" borderId="0" xfId="3" applyNumberFormat="1" applyFont="1" applyFill="1" applyBorder="1" applyAlignment="1">
      <alignment horizontal="center" vertical="center"/>
    </xf>
    <xf numFmtId="170" fontId="56" fillId="2" borderId="0" xfId="3" applyNumberFormat="1" applyFont="1" applyFill="1" applyBorder="1" applyAlignment="1">
      <alignment horizontal="center" vertical="center"/>
    </xf>
    <xf numFmtId="170" fontId="56" fillId="6" borderId="0" xfId="2" applyNumberFormat="1" applyFont="1" applyFill="1" applyAlignment="1">
      <alignment horizontal="center" vertical="center"/>
    </xf>
    <xf numFmtId="9" fontId="26" fillId="2" borderId="0" xfId="0" applyNumberFormat="1" applyFont="1" applyFill="1" applyAlignment="1"/>
    <xf numFmtId="170" fontId="26" fillId="2" borderId="0" xfId="2" applyNumberFormat="1" applyFont="1" applyFill="1" applyAlignment="1">
      <alignment vertical="center"/>
    </xf>
    <xf numFmtId="167" fontId="59" fillId="6" borderId="0" xfId="2" applyNumberFormat="1" applyFont="1" applyFill="1" applyAlignment="1">
      <alignment horizontal="center" vertical="center"/>
    </xf>
    <xf numFmtId="167" fontId="59" fillId="2" borderId="0" xfId="2" applyNumberFormat="1" applyFont="1" applyFill="1" applyAlignment="1">
      <alignment horizontal="center" vertical="center"/>
    </xf>
    <xf numFmtId="168" fontId="59" fillId="2" borderId="0" xfId="1" applyNumberFormat="1" applyFont="1" applyFill="1" applyBorder="1" applyAlignment="1">
      <alignment horizontal="center" vertical="center"/>
    </xf>
    <xf numFmtId="0" fontId="56" fillId="2" borderId="26" xfId="2" applyNumberFormat="1" applyFont="1" applyFill="1" applyBorder="1" applyAlignment="1">
      <alignment horizontal="left" vertical="center" indent="1"/>
    </xf>
    <xf numFmtId="3" fontId="2" fillId="7" borderId="13" xfId="1" applyNumberFormat="1" applyFont="1" applyFill="1" applyBorder="1" applyAlignment="1"/>
    <xf numFmtId="167" fontId="56" fillId="6" borderId="0" xfId="2" applyNumberFormat="1" applyFont="1" applyFill="1" applyAlignment="1">
      <alignment horizontal="center" vertical="center"/>
    </xf>
    <xf numFmtId="174" fontId="56" fillId="6" borderId="26" xfId="3" applyNumberFormat="1" applyFont="1" applyFill="1" applyBorder="1" applyAlignment="1">
      <alignment horizontal="center" vertical="center"/>
    </xf>
    <xf numFmtId="9" fontId="56" fillId="6" borderId="0" xfId="1" applyFont="1" applyFill="1" applyBorder="1" applyAlignment="1">
      <alignment horizontal="center" vertical="center"/>
    </xf>
    <xf numFmtId="9" fontId="56" fillId="2" borderId="0" xfId="1" applyFont="1" applyFill="1" applyBorder="1" applyAlignment="1">
      <alignment horizontal="center" vertical="center"/>
    </xf>
    <xf numFmtId="171" fontId="56" fillId="2" borderId="0" xfId="1" applyNumberFormat="1" applyFont="1" applyFill="1" applyBorder="1" applyAlignment="1">
      <alignment horizontal="center" vertical="center"/>
    </xf>
    <xf numFmtId="9" fontId="59" fillId="6" borderId="0" xfId="1" applyFont="1" applyFill="1" applyBorder="1" applyAlignment="1">
      <alignment horizontal="center" vertical="center"/>
    </xf>
    <xf numFmtId="9" fontId="59" fillId="2" borderId="0" xfId="1" applyFont="1" applyFill="1" applyBorder="1" applyAlignment="1">
      <alignment horizontal="center" vertical="center"/>
    </xf>
    <xf numFmtId="171" fontId="59" fillId="2" borderId="0" xfId="1" applyNumberFormat="1" applyFont="1" applyFill="1" applyBorder="1" applyAlignment="1">
      <alignment horizontal="center" vertical="center"/>
    </xf>
    <xf numFmtId="0" fontId="26" fillId="0" borderId="0" xfId="2" applyNumberFormat="1" applyFont="1" applyAlignment="1">
      <alignment vertical="center"/>
    </xf>
    <xf numFmtId="165" fontId="0" fillId="0" borderId="0" xfId="0" applyAlignment="1"/>
    <xf numFmtId="195" fontId="62" fillId="11" borderId="0" xfId="0" applyNumberFormat="1" applyFont="1" applyFill="1" applyAlignment="1"/>
    <xf numFmtId="0" fontId="56" fillId="0" borderId="26" xfId="2" applyNumberFormat="1" applyFont="1" applyBorder="1" applyAlignment="1">
      <alignment horizontal="left" vertical="center" indent="1"/>
    </xf>
    <xf numFmtId="0" fontId="26" fillId="2" borderId="0" xfId="2" applyNumberFormat="1" applyFont="1" applyFill="1" applyAlignment="1">
      <alignment horizontal="right" vertical="center"/>
    </xf>
    <xf numFmtId="197" fontId="34" fillId="2" borderId="0" xfId="3" applyNumberFormat="1" applyFont="1" applyFill="1" applyBorder="1" applyAlignment="1">
      <alignment horizontal="center" vertical="center"/>
    </xf>
    <xf numFmtId="0" fontId="48" fillId="4" borderId="0" xfId="2" quotePrefix="1" applyNumberFormat="1" applyFont="1" applyFill="1" applyAlignment="1">
      <alignment vertical="center"/>
    </xf>
    <xf numFmtId="0" fontId="63" fillId="2" borderId="0" xfId="2" applyNumberFormat="1" applyFont="1" applyFill="1" applyAlignment="1">
      <alignment vertical="center"/>
    </xf>
    <xf numFmtId="170" fontId="59" fillId="2" borderId="0" xfId="2" applyNumberFormat="1" applyFont="1" applyFill="1" applyAlignment="1">
      <alignment horizontal="center" vertical="center"/>
    </xf>
    <xf numFmtId="167" fontId="56" fillId="2" borderId="0" xfId="2" applyNumberFormat="1" applyFont="1" applyFill="1" applyAlignment="1">
      <alignment horizontal="center" vertical="center"/>
    </xf>
    <xf numFmtId="170" fontId="56" fillId="2" borderId="0" xfId="2" applyNumberFormat="1" applyFont="1" applyFill="1" applyAlignment="1">
      <alignment horizontal="center" vertical="center"/>
    </xf>
    <xf numFmtId="168" fontId="56" fillId="2" borderId="0" xfId="1" applyNumberFormat="1" applyFont="1" applyFill="1" applyBorder="1" applyAlignment="1">
      <alignment horizontal="center" vertical="center"/>
    </xf>
    <xf numFmtId="167" fontId="56" fillId="0" borderId="0" xfId="2" applyNumberFormat="1" applyFont="1" applyAlignment="1">
      <alignment horizontal="center" vertical="center"/>
    </xf>
    <xf numFmtId="170" fontId="56" fillId="0" borderId="0" xfId="2" applyNumberFormat="1" applyFont="1" applyAlignment="1">
      <alignment horizontal="center" vertical="center"/>
    </xf>
    <xf numFmtId="182" fontId="59" fillId="6" borderId="0" xfId="1" applyNumberFormat="1" applyFont="1" applyFill="1" applyBorder="1" applyAlignment="1">
      <alignment horizontal="center" vertical="center"/>
    </xf>
    <xf numFmtId="182" fontId="59" fillId="6" borderId="26" xfId="1" applyNumberFormat="1" applyFont="1" applyFill="1" applyBorder="1" applyAlignment="1">
      <alignment horizontal="center" vertical="center"/>
    </xf>
    <xf numFmtId="171" fontId="59" fillId="2" borderId="26" xfId="1" applyNumberFormat="1" applyFont="1" applyFill="1" applyBorder="1" applyAlignment="1">
      <alignment horizontal="center" vertical="center"/>
    </xf>
    <xf numFmtId="9" fontId="59" fillId="6" borderId="26" xfId="1" applyFont="1" applyFill="1" applyBorder="1" applyAlignment="1">
      <alignment horizontal="center" vertical="center"/>
    </xf>
    <xf numFmtId="9" fontId="59" fillId="2" borderId="26" xfId="1" applyFont="1" applyFill="1" applyBorder="1" applyAlignment="1">
      <alignment horizontal="center" vertical="center"/>
    </xf>
    <xf numFmtId="196" fontId="59" fillId="2" borderId="26" xfId="1" applyNumberFormat="1" applyFont="1" applyFill="1" applyBorder="1" applyAlignment="1">
      <alignment horizontal="center" vertical="center"/>
    </xf>
    <xf numFmtId="0" fontId="1" fillId="0" borderId="0" xfId="0" applyNumberFormat="1" applyFont="1" applyAlignment="1"/>
    <xf numFmtId="0" fontId="28" fillId="2" borderId="0" xfId="2" applyNumberFormat="1" applyFont="1" applyFill="1" applyAlignment="1">
      <alignment horizontal="left" vertical="center"/>
    </xf>
    <xf numFmtId="0" fontId="26" fillId="2" borderId="0" xfId="2" applyNumberFormat="1" applyFont="1" applyFill="1" applyAlignment="1">
      <alignment horizontal="centerContinuous" vertical="center"/>
    </xf>
    <xf numFmtId="0" fontId="26" fillId="2" borderId="20" xfId="2" applyNumberFormat="1" applyFont="1" applyFill="1" applyBorder="1" applyAlignment="1">
      <alignment horizontal="left" vertical="center"/>
    </xf>
    <xf numFmtId="0" fontId="65" fillId="0" borderId="0" xfId="2" applyNumberFormat="1" applyFont="1" applyAlignment="1">
      <alignment vertical="center"/>
    </xf>
    <xf numFmtId="0" fontId="65" fillId="2" borderId="0" xfId="2" applyNumberFormat="1" applyFont="1" applyFill="1" applyAlignment="1">
      <alignment vertical="center"/>
    </xf>
    <xf numFmtId="167" fontId="59" fillId="6" borderId="26" xfId="3" applyNumberFormat="1" applyFont="1" applyFill="1" applyBorder="1" applyAlignment="1">
      <alignment horizontal="center" vertical="center"/>
    </xf>
    <xf numFmtId="3" fontId="59" fillId="2" borderId="26" xfId="2" applyNumberFormat="1" applyFont="1" applyFill="1" applyBorder="1" applyAlignment="1">
      <alignment vertical="center"/>
    </xf>
    <xf numFmtId="165" fontId="56" fillId="2" borderId="26" xfId="2" applyFont="1" applyFill="1" applyBorder="1" applyAlignment="1">
      <alignment vertical="center"/>
    </xf>
    <xf numFmtId="0" fontId="56" fillId="2" borderId="0" xfId="2" applyNumberFormat="1" applyFont="1" applyFill="1" applyAlignment="1">
      <alignment vertical="center"/>
    </xf>
    <xf numFmtId="0" fontId="59" fillId="2" borderId="27" xfId="2" applyNumberFormat="1" applyFont="1" applyFill="1" applyBorder="1" applyAlignment="1">
      <alignment vertical="center"/>
    </xf>
    <xf numFmtId="3" fontId="56" fillId="2" borderId="0" xfId="2" applyNumberFormat="1" applyFont="1" applyFill="1" applyAlignment="1">
      <alignment horizontal="left" vertical="center" indent="1"/>
    </xf>
    <xf numFmtId="3" fontId="56" fillId="2" borderId="0" xfId="2" applyNumberFormat="1" applyFont="1" applyFill="1" applyAlignment="1">
      <alignment vertical="center"/>
    </xf>
    <xf numFmtId="3" fontId="56" fillId="0" borderId="0" xfId="2" applyNumberFormat="1" applyFont="1" applyAlignment="1">
      <alignment horizontal="left" vertical="center" indent="1"/>
    </xf>
    <xf numFmtId="165" fontId="59" fillId="2" borderId="26" xfId="2" applyFont="1" applyFill="1" applyBorder="1" applyAlignment="1">
      <alignment vertical="center"/>
    </xf>
    <xf numFmtId="1" fontId="59" fillId="2" borderId="26" xfId="2" applyNumberFormat="1" applyFont="1" applyFill="1" applyBorder="1" applyAlignment="1">
      <alignment horizontal="center" vertical="center"/>
    </xf>
    <xf numFmtId="165" fontId="59" fillId="2" borderId="26" xfId="2" applyFont="1" applyFill="1" applyBorder="1" applyAlignment="1">
      <alignment horizontal="center" vertical="center"/>
    </xf>
    <xf numFmtId="3" fontId="59" fillId="2" borderId="0" xfId="2" applyNumberFormat="1" applyFont="1" applyFill="1" applyAlignment="1">
      <alignment vertical="center"/>
    </xf>
    <xf numFmtId="3" fontId="56" fillId="0" borderId="0" xfId="2" applyNumberFormat="1" applyFont="1" applyAlignment="1">
      <alignment horizontal="left" vertical="center" indent="2"/>
    </xf>
    <xf numFmtId="0" fontId="59" fillId="2" borderId="0" xfId="2" applyNumberFormat="1" applyFont="1" applyFill="1" applyAlignment="1">
      <alignment vertical="center"/>
    </xf>
    <xf numFmtId="167" fontId="56" fillId="0" borderId="41" xfId="2" applyNumberFormat="1" applyFont="1" applyBorder="1" applyAlignment="1">
      <alignment horizontal="center" vertical="center"/>
    </xf>
    <xf numFmtId="170" fontId="56" fillId="0" borderId="41" xfId="2" applyNumberFormat="1" applyFont="1" applyBorder="1" applyAlignment="1">
      <alignment horizontal="center" vertical="center"/>
    </xf>
    <xf numFmtId="168" fontId="56" fillId="2" borderId="41" xfId="1" applyNumberFormat="1" applyFont="1" applyFill="1" applyBorder="1" applyAlignment="1">
      <alignment horizontal="center" vertical="center"/>
    </xf>
    <xf numFmtId="3" fontId="59" fillId="2" borderId="26" xfId="2" applyNumberFormat="1" applyFont="1" applyFill="1" applyBorder="1" applyAlignment="1">
      <alignment horizontal="center" vertical="center"/>
    </xf>
    <xf numFmtId="170" fontId="59" fillId="2" borderId="26" xfId="2" applyNumberFormat="1" applyFont="1" applyFill="1" applyBorder="1" applyAlignment="1">
      <alignment horizontal="center" vertical="center"/>
    </xf>
    <xf numFmtId="168" fontId="59" fillId="2" borderId="26" xfId="2" applyNumberFormat="1" applyFont="1" applyFill="1" applyBorder="1" applyAlignment="1">
      <alignment horizontal="center" vertical="center"/>
    </xf>
    <xf numFmtId="3" fontId="56" fillId="0" borderId="0" xfId="2" applyNumberFormat="1" applyFont="1" applyAlignment="1">
      <alignment vertical="center"/>
    </xf>
    <xf numFmtId="3" fontId="59" fillId="2" borderId="41" xfId="2" applyNumberFormat="1" applyFont="1" applyFill="1" applyBorder="1" applyAlignment="1">
      <alignment vertical="center"/>
    </xf>
    <xf numFmtId="193" fontId="56" fillId="6" borderId="0" xfId="2" applyNumberFormat="1" applyFont="1" applyFill="1" applyAlignment="1">
      <alignment horizontal="center" vertical="center"/>
    </xf>
    <xf numFmtId="193" fontId="56" fillId="0" borderId="0" xfId="2" applyNumberFormat="1" applyFont="1" applyAlignment="1">
      <alignment horizontal="center" vertical="center"/>
    </xf>
    <xf numFmtId="171" fontId="56" fillId="2" borderId="0" xfId="1" applyNumberFormat="1" applyFont="1" applyFill="1" applyAlignment="1">
      <alignment horizontal="center" vertical="center"/>
    </xf>
    <xf numFmtId="193" fontId="56" fillId="2" borderId="0" xfId="2" applyNumberFormat="1" applyFont="1" applyFill="1" applyAlignment="1">
      <alignment horizontal="center" vertical="center"/>
    </xf>
    <xf numFmtId="0" fontId="56" fillId="2" borderId="0" xfId="2" applyNumberFormat="1" applyFont="1" applyFill="1" applyAlignment="1"/>
    <xf numFmtId="0" fontId="56" fillId="2" borderId="26" xfId="2" applyNumberFormat="1" applyFont="1" applyFill="1" applyBorder="1" applyAlignment="1">
      <alignment vertical="center"/>
    </xf>
    <xf numFmtId="167" fontId="56" fillId="2" borderId="0" xfId="3" applyNumberFormat="1" applyFont="1" applyFill="1" applyAlignment="1">
      <alignment horizontal="center" vertical="center"/>
    </xf>
    <xf numFmtId="174" fontId="59" fillId="2" borderId="0" xfId="3" quotePrefix="1" applyNumberFormat="1" applyFont="1" applyFill="1" applyBorder="1" applyAlignment="1">
      <alignment horizontal="center" vertical="center"/>
    </xf>
    <xf numFmtId="3" fontId="56" fillId="2" borderId="0" xfId="2" applyNumberFormat="1" applyFont="1" applyFill="1" applyAlignment="1">
      <alignment horizontal="center" vertical="center"/>
    </xf>
    <xf numFmtId="187" fontId="56" fillId="2" borderId="0" xfId="2" applyNumberFormat="1" applyFont="1" applyFill="1" applyAlignment="1">
      <alignment horizontal="center" vertical="center"/>
    </xf>
    <xf numFmtId="0" fontId="56" fillId="2" borderId="0" xfId="2" applyNumberFormat="1" applyFont="1" applyFill="1" applyAlignment="1">
      <alignment horizontal="center" vertical="center"/>
    </xf>
    <xf numFmtId="177" fontId="56" fillId="2" borderId="26" xfId="2" applyNumberFormat="1" applyFont="1" applyFill="1" applyBorder="1" applyAlignment="1">
      <alignment horizontal="center" vertical="center"/>
    </xf>
    <xf numFmtId="177" fontId="56" fillId="2" borderId="0" xfId="2" applyNumberFormat="1" applyFont="1" applyFill="1" applyAlignment="1">
      <alignment vertical="center"/>
    </xf>
    <xf numFmtId="182" fontId="59" fillId="2" borderId="0" xfId="1" applyNumberFormat="1" applyFont="1" applyFill="1" applyBorder="1" applyAlignment="1">
      <alignment horizontal="center" vertical="center"/>
    </xf>
    <xf numFmtId="182" fontId="59" fillId="2" borderId="26" xfId="1" applyNumberFormat="1" applyFont="1" applyFill="1" applyBorder="1" applyAlignment="1">
      <alignment horizontal="center" vertical="center"/>
    </xf>
    <xf numFmtId="167" fontId="56" fillId="2" borderId="41" xfId="2" applyNumberFormat="1" applyFont="1" applyFill="1" applyBorder="1" applyAlignment="1">
      <alignment horizontal="center" vertical="center"/>
    </xf>
    <xf numFmtId="170" fontId="56" fillId="2" borderId="41" xfId="2" applyNumberFormat="1" applyFont="1" applyFill="1" applyBorder="1" applyAlignment="1">
      <alignment horizontal="center" vertical="center"/>
    </xf>
    <xf numFmtId="3" fontId="56" fillId="2" borderId="0" xfId="2" applyNumberFormat="1" applyFont="1" applyFill="1" applyAlignment="1">
      <alignment horizontal="left" vertical="center" indent="2"/>
    </xf>
    <xf numFmtId="0" fontId="0" fillId="2" borderId="0" xfId="0" applyNumberFormat="1" applyFill="1" applyAlignment="1"/>
    <xf numFmtId="9" fontId="26" fillId="2" borderId="0" xfId="2" applyNumberFormat="1" applyFont="1" applyFill="1" applyAlignment="1"/>
    <xf numFmtId="165" fontId="62" fillId="11" borderId="0" xfId="0" applyFont="1" applyFill="1" applyAlignment="1"/>
    <xf numFmtId="165" fontId="62" fillId="12" borderId="0" xfId="0" applyFont="1" applyFill="1" applyAlignment="1"/>
    <xf numFmtId="172" fontId="56" fillId="2" borderId="0" xfId="3" applyNumberFormat="1" applyFont="1" applyFill="1" applyAlignment="1">
      <alignment horizontal="center" vertical="center"/>
    </xf>
    <xf numFmtId="198" fontId="56" fillId="2" borderId="0" xfId="1" applyNumberFormat="1" applyFont="1" applyFill="1" applyBorder="1" applyAlignment="1">
      <alignment horizontal="center" vertical="center"/>
    </xf>
    <xf numFmtId="199" fontId="56" fillId="2" borderId="0" xfId="1" applyNumberFormat="1" applyFont="1" applyFill="1" applyBorder="1" applyAlignment="1">
      <alignment horizontal="center" vertical="center"/>
    </xf>
    <xf numFmtId="1" fontId="26" fillId="2" borderId="0" xfId="2" applyNumberFormat="1" applyFont="1" applyFill="1" applyAlignment="1"/>
    <xf numFmtId="9" fontId="26" fillId="2" borderId="0" xfId="2" applyNumberFormat="1" applyFont="1" applyFill="1" applyAlignment="1">
      <alignment horizontal="right" vertical="center"/>
    </xf>
    <xf numFmtId="0" fontId="26" fillId="2" borderId="0" xfId="0" applyNumberFormat="1" applyFont="1" applyFill="1" applyAlignment="1">
      <alignment horizontal="right"/>
    </xf>
    <xf numFmtId="195" fontId="26" fillId="2" borderId="0" xfId="2" applyNumberFormat="1" applyFont="1" applyFill="1" applyAlignment="1">
      <alignment vertical="center"/>
    </xf>
    <xf numFmtId="200" fontId="26" fillId="2" borderId="28" xfId="2" applyNumberFormat="1" applyFont="1" applyFill="1" applyBorder="1" applyAlignment="1">
      <alignment vertical="center"/>
    </xf>
    <xf numFmtId="180" fontId="26" fillId="2" borderId="0" xfId="2" applyNumberFormat="1" applyFont="1" applyFill="1" applyAlignment="1"/>
    <xf numFmtId="0" fontId="67" fillId="2" borderId="0" xfId="2" applyNumberFormat="1" applyFont="1" applyFill="1" applyAlignment="1"/>
    <xf numFmtId="0" fontId="5" fillId="0" borderId="3" xfId="2" applyNumberFormat="1" applyFont="1" applyBorder="1" applyAlignment="1">
      <alignment horizontal="left" vertical="center" wrapText="1"/>
    </xf>
    <xf numFmtId="0" fontId="68" fillId="2" borderId="28" xfId="2" applyNumberFormat="1" applyFont="1" applyFill="1" applyBorder="1" applyAlignment="1"/>
    <xf numFmtId="0" fontId="69" fillId="2" borderId="26" xfId="2" applyNumberFormat="1" applyFont="1" applyFill="1" applyBorder="1" applyAlignment="1">
      <alignment horizontal="left" vertical="center"/>
    </xf>
    <xf numFmtId="0" fontId="70" fillId="2" borderId="0" xfId="2" applyNumberFormat="1" applyFont="1" applyFill="1" applyAlignment="1">
      <alignment horizontal="left" vertical="center"/>
    </xf>
    <xf numFmtId="165" fontId="71" fillId="2" borderId="26" xfId="2" applyFont="1" applyFill="1" applyBorder="1" applyAlignment="1">
      <alignment vertical="center"/>
    </xf>
    <xf numFmtId="3" fontId="71" fillId="2" borderId="0" xfId="2" applyNumberFormat="1" applyFont="1" applyFill="1" applyAlignment="1">
      <alignment vertical="center"/>
    </xf>
    <xf numFmtId="0" fontId="71" fillId="2" borderId="0" xfId="2" applyNumberFormat="1" applyFont="1" applyFill="1" applyAlignment="1"/>
    <xf numFmtId="3" fontId="68" fillId="2" borderId="28" xfId="2" applyNumberFormat="1" applyFont="1" applyFill="1" applyBorder="1" applyAlignment="1"/>
    <xf numFmtId="3" fontId="71" fillId="2" borderId="26" xfId="2" applyNumberFormat="1" applyFont="1" applyFill="1" applyBorder="1" applyAlignment="1">
      <alignment vertical="center"/>
    </xf>
    <xf numFmtId="3" fontId="71" fillId="2" borderId="0" xfId="2" applyNumberFormat="1" applyFont="1" applyFill="1" applyAlignment="1">
      <alignment horizontal="left" vertical="center"/>
    </xf>
    <xf numFmtId="0" fontId="71" fillId="2" borderId="27" xfId="2" applyNumberFormat="1" applyFont="1" applyFill="1" applyBorder="1" applyAlignment="1">
      <alignment vertical="center"/>
    </xf>
    <xf numFmtId="0" fontId="71" fillId="2" borderId="26" xfId="2" applyNumberFormat="1" applyFont="1" applyFill="1" applyBorder="1" applyAlignment="1">
      <alignment horizontal="center" vertical="center"/>
    </xf>
    <xf numFmtId="167" fontId="71" fillId="6" borderId="0" xfId="3" applyNumberFormat="1" applyFont="1" applyFill="1" applyBorder="1" applyAlignment="1">
      <alignment horizontal="center" vertical="center"/>
    </xf>
    <xf numFmtId="167" fontId="71" fillId="2" borderId="0" xfId="3" applyNumberFormat="1" applyFont="1" applyFill="1" applyBorder="1" applyAlignment="1">
      <alignment horizontal="center" vertical="center"/>
    </xf>
    <xf numFmtId="170" fontId="71" fillId="2" borderId="0" xfId="3" applyNumberFormat="1" applyFont="1" applyFill="1" applyBorder="1" applyAlignment="1">
      <alignment horizontal="center" vertical="center"/>
    </xf>
    <xf numFmtId="170" fontId="71" fillId="2" borderId="0" xfId="3" applyNumberFormat="1" applyFont="1" applyFill="1" applyAlignment="1">
      <alignment horizontal="center" vertical="center"/>
    </xf>
    <xf numFmtId="170" fontId="71" fillId="6" borderId="0" xfId="2" applyNumberFormat="1" applyFont="1" applyFill="1" applyAlignment="1">
      <alignment horizontal="center" vertical="center"/>
    </xf>
    <xf numFmtId="167" fontId="71" fillId="6" borderId="27" xfId="3" applyNumberFormat="1" applyFont="1" applyFill="1" applyBorder="1" applyAlignment="1">
      <alignment horizontal="center" vertical="center"/>
    </xf>
    <xf numFmtId="167" fontId="71" fillId="2" borderId="27" xfId="3" applyNumberFormat="1" applyFont="1" applyFill="1" applyBorder="1" applyAlignment="1">
      <alignment horizontal="center" vertical="center"/>
    </xf>
    <xf numFmtId="170" fontId="71" fillId="2" borderId="27" xfId="3" applyNumberFormat="1" applyFont="1" applyFill="1" applyBorder="1" applyAlignment="1">
      <alignment horizontal="center" vertical="center"/>
    </xf>
    <xf numFmtId="170" fontId="71" fillId="6" borderId="27" xfId="3" applyNumberFormat="1" applyFont="1" applyFill="1" applyBorder="1" applyAlignment="1">
      <alignment horizontal="center" vertical="center"/>
    </xf>
    <xf numFmtId="0" fontId="68" fillId="2" borderId="28" xfId="2" applyNumberFormat="1" applyFont="1" applyFill="1" applyBorder="1" applyAlignment="1">
      <alignment horizontal="centerContinuous"/>
    </xf>
    <xf numFmtId="1" fontId="71" fillId="2" borderId="26" xfId="2" applyNumberFormat="1" applyFont="1" applyFill="1" applyBorder="1" applyAlignment="1">
      <alignment horizontal="center" vertical="center"/>
    </xf>
    <xf numFmtId="165" fontId="71" fillId="2" borderId="26" xfId="2" applyFont="1" applyFill="1" applyBorder="1" applyAlignment="1">
      <alignment horizontal="center" vertical="center"/>
    </xf>
    <xf numFmtId="167" fontId="71" fillId="6" borderId="0" xfId="2" applyNumberFormat="1" applyFont="1" applyFill="1" applyAlignment="1">
      <alignment horizontal="center" vertical="center"/>
    </xf>
    <xf numFmtId="167" fontId="71" fillId="2" borderId="0" xfId="2" applyNumberFormat="1" applyFont="1" applyFill="1" applyAlignment="1">
      <alignment horizontal="center" vertical="center"/>
    </xf>
    <xf numFmtId="170" fontId="71" fillId="2" borderId="0" xfId="2" applyNumberFormat="1" applyFont="1" applyFill="1" applyAlignment="1">
      <alignment horizontal="center" vertical="center"/>
    </xf>
    <xf numFmtId="168" fontId="71" fillId="2" borderId="0" xfId="1" applyNumberFormat="1" applyFont="1" applyFill="1" applyBorder="1" applyAlignment="1">
      <alignment horizontal="center" vertical="center"/>
    </xf>
    <xf numFmtId="167" fontId="71" fillId="0" borderId="0" xfId="2" applyNumberFormat="1" applyFont="1" applyAlignment="1">
      <alignment horizontal="center" vertical="center"/>
    </xf>
    <xf numFmtId="170" fontId="71" fillId="0" borderId="0" xfId="2" applyNumberFormat="1" applyFont="1" applyAlignment="1">
      <alignment horizontal="center" vertical="center"/>
    </xf>
    <xf numFmtId="167" fontId="71" fillId="6" borderId="26" xfId="3" applyNumberFormat="1" applyFont="1" applyFill="1" applyBorder="1" applyAlignment="1">
      <alignment horizontal="center" vertical="center"/>
    </xf>
    <xf numFmtId="3" fontId="71" fillId="2" borderId="26" xfId="2" applyNumberFormat="1" applyFont="1" applyFill="1" applyBorder="1" applyAlignment="1">
      <alignment horizontal="center" vertical="center"/>
    </xf>
    <xf numFmtId="170" fontId="71" fillId="2" borderId="26" xfId="2" applyNumberFormat="1" applyFont="1" applyFill="1" applyBorder="1" applyAlignment="1">
      <alignment horizontal="center" vertical="center"/>
    </xf>
    <xf numFmtId="168" fontId="71" fillId="2" borderId="26" xfId="2" applyNumberFormat="1" applyFont="1" applyFill="1" applyBorder="1" applyAlignment="1">
      <alignment horizontal="center" vertical="center"/>
    </xf>
    <xf numFmtId="3" fontId="68" fillId="0" borderId="28" xfId="2" applyNumberFormat="1" applyFont="1" applyBorder="1" applyAlignment="1"/>
    <xf numFmtId="9" fontId="71" fillId="6" borderId="26" xfId="1" applyFont="1" applyFill="1" applyBorder="1" applyAlignment="1">
      <alignment horizontal="center" vertical="center"/>
    </xf>
    <xf numFmtId="9" fontId="71" fillId="0" borderId="26" xfId="1" applyFont="1" applyFill="1" applyBorder="1" applyAlignment="1">
      <alignment horizontal="center" vertical="center"/>
    </xf>
    <xf numFmtId="171" fontId="71" fillId="2" borderId="26" xfId="1" applyNumberFormat="1" applyFont="1" applyFill="1" applyBorder="1" applyAlignment="1">
      <alignment horizontal="center" vertical="center"/>
    </xf>
    <xf numFmtId="0" fontId="72" fillId="2" borderId="0" xfId="2" applyNumberFormat="1" applyFont="1" applyFill="1" applyAlignment="1">
      <alignment vertical="center"/>
    </xf>
    <xf numFmtId="0" fontId="72" fillId="2" borderId="0" xfId="2" applyNumberFormat="1" applyFont="1" applyFill="1" applyAlignment="1"/>
    <xf numFmtId="0" fontId="71" fillId="2" borderId="0" xfId="2" applyNumberFormat="1" applyFont="1" applyFill="1" applyAlignment="1">
      <alignment horizontal="right" vertical="center"/>
    </xf>
    <xf numFmtId="0" fontId="72" fillId="2" borderId="0" xfId="2" applyNumberFormat="1" applyFont="1" applyFill="1" applyAlignment="1">
      <alignment horizontal="right" vertical="center"/>
    </xf>
    <xf numFmtId="3" fontId="71" fillId="0" borderId="0" xfId="2" applyNumberFormat="1" applyFont="1" applyAlignment="1">
      <alignment vertical="center"/>
    </xf>
    <xf numFmtId="9" fontId="71" fillId="6" borderId="0" xfId="1" applyFont="1" applyFill="1" applyBorder="1" applyAlignment="1">
      <alignment horizontal="center" vertical="center"/>
    </xf>
    <xf numFmtId="9" fontId="71" fillId="2" borderId="0" xfId="1" applyFont="1" applyFill="1" applyBorder="1" applyAlignment="1">
      <alignment horizontal="center" vertical="center"/>
    </xf>
    <xf numFmtId="0" fontId="71" fillId="2" borderId="0" xfId="2" applyNumberFormat="1" applyFont="1" applyFill="1" applyAlignment="1">
      <alignment vertical="center"/>
    </xf>
    <xf numFmtId="182" fontId="71" fillId="6" borderId="0" xfId="1" applyNumberFormat="1" applyFont="1" applyFill="1" applyBorder="1" applyAlignment="1">
      <alignment horizontal="center" vertical="center"/>
    </xf>
    <xf numFmtId="182" fontId="71" fillId="0" borderId="0" xfId="1" applyNumberFormat="1" applyFont="1" applyBorder="1" applyAlignment="1">
      <alignment horizontal="center" vertical="center"/>
    </xf>
    <xf numFmtId="171" fontId="71" fillId="2" borderId="0" xfId="1" applyNumberFormat="1" applyFont="1" applyFill="1" applyBorder="1" applyAlignment="1">
      <alignment horizontal="center" vertical="center"/>
    </xf>
    <xf numFmtId="3" fontId="71" fillId="2" borderId="41" xfId="2" applyNumberFormat="1" applyFont="1" applyFill="1" applyBorder="1" applyAlignment="1">
      <alignment vertical="center"/>
    </xf>
    <xf numFmtId="182" fontId="71" fillId="6" borderId="26" xfId="1" applyNumberFormat="1" applyFont="1" applyFill="1" applyBorder="1" applyAlignment="1">
      <alignment horizontal="center" vertical="center"/>
    </xf>
    <xf numFmtId="182" fontId="71" fillId="0" borderId="26" xfId="1" applyNumberFormat="1" applyFont="1" applyFill="1" applyBorder="1" applyAlignment="1">
      <alignment horizontal="center" vertical="center"/>
    </xf>
    <xf numFmtId="9" fontId="71" fillId="2" borderId="26" xfId="1" applyFont="1" applyFill="1" applyBorder="1" applyAlignment="1">
      <alignment horizontal="center" vertical="center"/>
    </xf>
    <xf numFmtId="175" fontId="71" fillId="2" borderId="26" xfId="1" applyNumberFormat="1" applyFont="1" applyFill="1" applyBorder="1" applyAlignment="1">
      <alignment horizontal="center" vertical="center"/>
    </xf>
    <xf numFmtId="0" fontId="71" fillId="2" borderId="26" xfId="2" applyNumberFormat="1" applyFont="1" applyFill="1" applyBorder="1" applyAlignment="1">
      <alignment vertical="center"/>
    </xf>
    <xf numFmtId="0" fontId="69" fillId="2" borderId="19" xfId="2" applyNumberFormat="1" applyFont="1" applyFill="1" applyBorder="1" applyAlignment="1">
      <alignment horizontal="left" vertical="center"/>
    </xf>
    <xf numFmtId="0" fontId="71" fillId="2" borderId="26" xfId="2" applyNumberFormat="1" applyFont="1" applyFill="1" applyBorder="1" applyAlignment="1">
      <alignment horizontal="left" vertical="center"/>
    </xf>
    <xf numFmtId="0" fontId="71" fillId="2" borderId="26" xfId="2" applyNumberFormat="1" applyFont="1" applyFill="1" applyBorder="1" applyAlignment="1">
      <alignment horizontal="right" vertical="center"/>
    </xf>
    <xf numFmtId="174" fontId="71" fillId="6" borderId="0" xfId="3" applyNumberFormat="1" applyFont="1" applyFill="1" applyBorder="1" applyAlignment="1">
      <alignment horizontal="center" vertical="center"/>
    </xf>
    <xf numFmtId="172" fontId="71" fillId="2" borderId="0" xfId="3" applyNumberFormat="1" applyFont="1" applyFill="1" applyBorder="1" applyAlignment="1">
      <alignment horizontal="center" vertical="center"/>
    </xf>
    <xf numFmtId="172" fontId="71" fillId="6" borderId="0" xfId="3" applyNumberFormat="1" applyFont="1" applyFill="1" applyBorder="1" applyAlignment="1">
      <alignment horizontal="center" vertical="center"/>
    </xf>
    <xf numFmtId="174" fontId="71" fillId="6" borderId="26" xfId="3" applyNumberFormat="1" applyFont="1" applyFill="1" applyBorder="1" applyAlignment="1">
      <alignment horizontal="center" vertical="center"/>
    </xf>
    <xf numFmtId="172" fontId="71" fillId="2" borderId="26" xfId="3" applyNumberFormat="1" applyFont="1" applyFill="1" applyBorder="1" applyAlignment="1">
      <alignment horizontal="center" vertical="center"/>
    </xf>
    <xf numFmtId="172" fontId="71" fillId="6" borderId="26" xfId="3" applyNumberFormat="1" applyFont="1" applyFill="1" applyBorder="1" applyAlignment="1">
      <alignment horizontal="center" vertical="center"/>
    </xf>
    <xf numFmtId="167" fontId="71" fillId="2" borderId="26" xfId="3" applyNumberFormat="1" applyFont="1" applyFill="1" applyBorder="1" applyAlignment="1">
      <alignment horizontal="center" vertical="center"/>
    </xf>
    <xf numFmtId="3" fontId="71" fillId="2" borderId="27" xfId="2" applyNumberFormat="1" applyFont="1" applyFill="1" applyBorder="1" applyAlignment="1">
      <alignment vertical="center"/>
    </xf>
    <xf numFmtId="174" fontId="71" fillId="6" borderId="27" xfId="3" applyNumberFormat="1" applyFont="1" applyFill="1" applyBorder="1" applyAlignment="1">
      <alignment horizontal="center" vertical="center"/>
    </xf>
    <xf numFmtId="172" fontId="71" fillId="2" borderId="27" xfId="3" applyNumberFormat="1" applyFont="1" applyFill="1" applyBorder="1" applyAlignment="1">
      <alignment horizontal="center" vertical="center"/>
    </xf>
    <xf numFmtId="172" fontId="71" fillId="6" borderId="27" xfId="3" applyNumberFormat="1" applyFont="1" applyFill="1" applyBorder="1" applyAlignment="1">
      <alignment horizontal="center" vertical="center"/>
    </xf>
    <xf numFmtId="174" fontId="71" fillId="2" borderId="0" xfId="3" applyNumberFormat="1" applyFont="1" applyFill="1" applyBorder="1" applyAlignment="1">
      <alignment horizontal="center" vertical="center"/>
    </xf>
    <xf numFmtId="174" fontId="71" fillId="2" borderId="26" xfId="3" applyNumberFormat="1" applyFont="1" applyFill="1" applyBorder="1" applyAlignment="1">
      <alignment horizontal="center" vertical="center"/>
    </xf>
    <xf numFmtId="174" fontId="71" fillId="2" borderId="27" xfId="3" applyNumberFormat="1" applyFont="1" applyFill="1" applyBorder="1" applyAlignment="1">
      <alignment horizontal="center" vertical="center"/>
    </xf>
    <xf numFmtId="174" fontId="71" fillId="2" borderId="0" xfId="3" quotePrefix="1" applyNumberFormat="1" applyFont="1" applyFill="1" applyBorder="1" applyAlignment="1">
      <alignment horizontal="center" vertical="center"/>
    </xf>
    <xf numFmtId="174" fontId="71" fillId="2" borderId="26" xfId="3" quotePrefix="1" applyNumberFormat="1" applyFont="1" applyFill="1" applyBorder="1" applyAlignment="1">
      <alignment horizontal="center" vertical="center"/>
    </xf>
    <xf numFmtId="0" fontId="71" fillId="2" borderId="39" xfId="2" applyNumberFormat="1" applyFont="1" applyFill="1" applyBorder="1" applyAlignment="1">
      <alignment vertical="center"/>
    </xf>
    <xf numFmtId="167" fontId="71" fillId="2" borderId="26" xfId="2" applyNumberFormat="1" applyFont="1" applyFill="1" applyBorder="1" applyAlignment="1">
      <alignment horizontal="center" vertical="center"/>
    </xf>
    <xf numFmtId="172" fontId="71" fillId="0" borderId="27" xfId="3" applyNumberFormat="1" applyFont="1" applyFill="1" applyBorder="1" applyAlignment="1">
      <alignment horizontal="center" vertical="center"/>
    </xf>
    <xf numFmtId="0" fontId="71" fillId="2" borderId="28" xfId="2" applyNumberFormat="1" applyFont="1" applyFill="1" applyBorder="1" applyAlignment="1">
      <alignment vertical="center"/>
    </xf>
    <xf numFmtId="177" fontId="71" fillId="2" borderId="28" xfId="2" applyNumberFormat="1" applyFont="1" applyFill="1" applyBorder="1" applyAlignment="1">
      <alignment vertical="center"/>
    </xf>
    <xf numFmtId="177" fontId="71" fillId="2" borderId="26" xfId="2" applyNumberFormat="1" applyFont="1" applyFill="1" applyBorder="1" applyAlignment="1">
      <alignment horizontal="center" vertical="center"/>
    </xf>
    <xf numFmtId="174" fontId="71" fillId="6" borderId="0" xfId="3" applyNumberFormat="1" applyFont="1" applyFill="1" applyAlignment="1">
      <alignment horizontal="center" vertical="center"/>
    </xf>
    <xf numFmtId="172" fontId="71" fillId="2" borderId="0" xfId="3" applyNumberFormat="1" applyFont="1" applyFill="1" applyAlignment="1">
      <alignment horizontal="center" vertical="center"/>
    </xf>
    <xf numFmtId="0" fontId="71" fillId="2" borderId="27" xfId="2" applyNumberFormat="1" applyFont="1" applyFill="1" applyBorder="1" applyAlignment="1">
      <alignment horizontal="center" vertical="center"/>
    </xf>
    <xf numFmtId="167" fontId="71" fillId="2" borderId="27" xfId="2" applyNumberFormat="1" applyFont="1" applyFill="1" applyBorder="1" applyAlignment="1">
      <alignment horizontal="center" vertical="center"/>
    </xf>
    <xf numFmtId="175" fontId="71" fillId="2" borderId="0" xfId="1" applyNumberFormat="1" applyFont="1" applyFill="1" applyBorder="1" applyAlignment="1">
      <alignment horizontal="center" vertical="center"/>
    </xf>
    <xf numFmtId="174" fontId="71" fillId="0" borderId="27" xfId="3" applyNumberFormat="1" applyFont="1" applyFill="1" applyBorder="1" applyAlignment="1">
      <alignment horizontal="center" vertical="center"/>
    </xf>
    <xf numFmtId="0" fontId="56" fillId="0" borderId="0" xfId="2" applyNumberFormat="1" applyFont="1" applyAlignment="1">
      <alignment vertical="center"/>
    </xf>
    <xf numFmtId="165" fontId="66" fillId="0" borderId="0" xfId="0" applyFont="1" applyAlignment="1">
      <alignment horizontal="center"/>
    </xf>
    <xf numFmtId="175" fontId="56" fillId="2" borderId="0" xfId="1" applyNumberFormat="1" applyFont="1" applyFill="1" applyAlignment="1">
      <alignment horizontal="center" vertical="center"/>
    </xf>
    <xf numFmtId="173" fontId="26" fillId="2" borderId="0" xfId="2" applyNumberFormat="1" applyFont="1" applyFill="1" applyAlignment="1"/>
    <xf numFmtId="9" fontId="34" fillId="2" borderId="0" xfId="1" applyFont="1" applyFill="1" applyBorder="1" applyAlignment="1">
      <alignment horizontal="center" vertical="center"/>
    </xf>
    <xf numFmtId="164" fontId="58" fillId="2" borderId="0" xfId="1" applyNumberFormat="1" applyFont="1" applyFill="1" applyAlignment="1"/>
    <xf numFmtId="9" fontId="56" fillId="2" borderId="0" xfId="2" applyNumberFormat="1" applyFont="1" applyFill="1" applyAlignment="1">
      <alignment vertical="center"/>
    </xf>
    <xf numFmtId="0" fontId="73" fillId="2" borderId="26" xfId="2" applyNumberFormat="1" applyFont="1" applyFill="1" applyBorder="1" applyAlignment="1">
      <alignment horizontal="center" vertical="center"/>
    </xf>
    <xf numFmtId="0" fontId="72" fillId="2" borderId="26" xfId="2" applyNumberFormat="1" applyFont="1" applyFill="1" applyBorder="1" applyAlignment="1">
      <alignment horizontal="center" vertical="center"/>
    </xf>
    <xf numFmtId="0" fontId="73" fillId="2" borderId="0" xfId="2" applyNumberFormat="1" applyFont="1" applyFill="1" applyAlignment="1">
      <alignment horizontal="right" vertical="center"/>
    </xf>
    <xf numFmtId="0" fontId="27" fillId="0" borderId="0" xfId="2" applyNumberFormat="1" applyFont="1" applyAlignment="1">
      <alignment vertical="center"/>
    </xf>
    <xf numFmtId="0" fontId="26" fillId="2" borderId="0" xfId="2" applyNumberFormat="1" applyFont="1" applyFill="1" applyAlignment="1">
      <alignment horizontal="right" vertical="center"/>
    </xf>
    <xf numFmtId="0" fontId="26" fillId="2" borderId="20" xfId="2" applyNumberFormat="1" applyFont="1" applyFill="1" applyBorder="1" applyAlignment="1">
      <alignment horizontal="left" vertical="center"/>
    </xf>
    <xf numFmtId="0" fontId="26" fillId="2" borderId="0" xfId="2" applyNumberFormat="1" applyFont="1" applyFill="1" applyAlignment="1">
      <alignment horizontal="left" vertical="center"/>
    </xf>
    <xf numFmtId="0" fontId="68" fillId="2" borderId="28" xfId="2" applyNumberFormat="1" applyFont="1" applyFill="1" applyBorder="1" applyAlignment="1">
      <alignment horizontal="center"/>
    </xf>
    <xf numFmtId="0" fontId="29" fillId="2" borderId="0" xfId="2" applyNumberFormat="1" applyFont="1" applyFill="1" applyAlignment="1">
      <alignment horizontal="center" vertical="center"/>
    </xf>
    <xf numFmtId="3" fontId="71" fillId="2" borderId="28" xfId="2" applyNumberFormat="1" applyFont="1" applyFill="1" applyBorder="1" applyAlignment="1">
      <alignment horizontal="center" vertical="center"/>
    </xf>
    <xf numFmtId="0" fontId="71" fillId="2" borderId="0" xfId="2" applyNumberFormat="1" applyFont="1" applyFill="1" applyAlignment="1">
      <alignment horizontal="right" vertical="center"/>
    </xf>
    <xf numFmtId="0" fontId="71" fillId="2" borderId="0" xfId="2" applyNumberFormat="1" applyFont="1" applyFill="1" applyAlignment="1">
      <alignment horizontal="right" vertical="top"/>
    </xf>
    <xf numFmtId="0" fontId="28" fillId="2" borderId="7" xfId="2" applyNumberFormat="1" applyFont="1" applyFill="1" applyBorder="1" applyAlignment="1">
      <alignment horizontal="center" vertical="center"/>
    </xf>
    <xf numFmtId="0" fontId="28" fillId="2" borderId="8" xfId="2" applyNumberFormat="1" applyFont="1" applyFill="1" applyBorder="1" applyAlignment="1">
      <alignment horizontal="center" vertical="center"/>
    </xf>
    <xf numFmtId="0" fontId="28" fillId="2" borderId="9" xfId="2" applyNumberFormat="1" applyFont="1" applyFill="1" applyBorder="1" applyAlignment="1">
      <alignment horizontal="center" vertical="center"/>
    </xf>
    <xf numFmtId="165" fontId="68" fillId="2" borderId="28" xfId="2" applyFont="1" applyFill="1" applyBorder="1" applyAlignment="1">
      <alignment horizontal="center"/>
    </xf>
    <xf numFmtId="165" fontId="68" fillId="2" borderId="29" xfId="2" applyFont="1" applyFill="1" applyBorder="1" applyAlignment="1">
      <alignment horizontal="center"/>
    </xf>
    <xf numFmtId="165" fontId="68" fillId="0" borderId="30" xfId="2" applyFont="1" applyBorder="1" applyAlignment="1">
      <alignment horizontal="center"/>
    </xf>
    <xf numFmtId="165" fontId="68" fillId="0" borderId="28" xfId="2" applyFont="1" applyBorder="1" applyAlignment="1">
      <alignment horizontal="center"/>
    </xf>
    <xf numFmtId="0" fontId="37" fillId="2" borderId="7" xfId="2" applyNumberFormat="1" applyFont="1" applyFill="1" applyBorder="1" applyAlignment="1">
      <alignment horizontal="center" vertical="center"/>
    </xf>
    <xf numFmtId="0" fontId="37" fillId="2" borderId="8" xfId="2" applyNumberFormat="1" applyFont="1" applyFill="1" applyBorder="1" applyAlignment="1">
      <alignment horizontal="center" vertical="center"/>
    </xf>
    <xf numFmtId="0" fontId="37" fillId="2" borderId="9" xfId="2" applyNumberFormat="1" applyFont="1" applyFill="1" applyBorder="1" applyAlignment="1">
      <alignment horizontal="center" vertical="center"/>
    </xf>
    <xf numFmtId="0" fontId="64" fillId="4" borderId="7" xfId="2" applyNumberFormat="1" applyFont="1" applyFill="1" applyBorder="1" applyAlignment="1">
      <alignment horizontal="center" vertical="center"/>
    </xf>
    <xf numFmtId="0" fontId="64" fillId="4" borderId="8" xfId="2" applyNumberFormat="1" applyFont="1" applyFill="1" applyBorder="1" applyAlignment="1">
      <alignment horizontal="center" vertical="center"/>
    </xf>
    <xf numFmtId="0" fontId="64" fillId="4" borderId="9" xfId="2" applyNumberFormat="1" applyFont="1" applyFill="1" applyBorder="1" applyAlignment="1">
      <alignment horizontal="center" vertical="center"/>
    </xf>
    <xf numFmtId="0" fontId="73" fillId="2" borderId="0" xfId="2" applyNumberFormat="1" applyFont="1" applyFill="1" applyAlignment="1">
      <alignment horizontal="right" vertical="center"/>
    </xf>
    <xf numFmtId="0" fontId="73" fillId="2" borderId="0" xfId="2" applyNumberFormat="1" applyFont="1" applyFill="1" applyAlignment="1">
      <alignment horizontal="right" vertical="top"/>
    </xf>
    <xf numFmtId="0" fontId="2" fillId="8" borderId="10" xfId="0" applyNumberFormat="1" applyFont="1" applyFill="1" applyBorder="1" applyAlignment="1">
      <alignment horizontal="center"/>
    </xf>
    <xf numFmtId="0" fontId="2" fillId="8" borderId="11" xfId="0" applyNumberFormat="1" applyFont="1" applyFill="1" applyBorder="1" applyAlignment="1">
      <alignment horizontal="center"/>
    </xf>
    <xf numFmtId="0" fontId="6" fillId="3" borderId="32" xfId="2" applyNumberFormat="1" applyFont="1" applyFill="1" applyBorder="1" applyAlignment="1">
      <alignment horizontal="center" vertical="center" wrapText="1"/>
    </xf>
    <xf numFmtId="0" fontId="6" fillId="3" borderId="34" xfId="2" applyNumberFormat="1" applyFont="1" applyFill="1" applyBorder="1" applyAlignment="1">
      <alignment horizontal="center" vertical="center" wrapText="1"/>
    </xf>
    <xf numFmtId="0" fontId="6" fillId="3" borderId="36" xfId="2" applyNumberFormat="1" applyFont="1" applyFill="1" applyBorder="1" applyAlignment="1">
      <alignment horizontal="center" vertical="center" wrapText="1"/>
    </xf>
    <xf numFmtId="0" fontId="6" fillId="0" borderId="32" xfId="2" applyNumberFormat="1" applyFont="1" applyBorder="1" applyAlignment="1">
      <alignment horizontal="center" vertical="center" wrapText="1"/>
    </xf>
    <xf numFmtId="0" fontId="6" fillId="0" borderId="34" xfId="2" applyNumberFormat="1" applyFont="1" applyBorder="1" applyAlignment="1">
      <alignment horizontal="center" vertical="center" wrapText="1"/>
    </xf>
    <xf numFmtId="0" fontId="6" fillId="0" borderId="36" xfId="2" applyNumberFormat="1" applyFont="1" applyBorder="1" applyAlignment="1">
      <alignment horizontal="center" vertical="center" wrapText="1"/>
    </xf>
    <xf numFmtId="0" fontId="11" fillId="0" borderId="0" xfId="2" applyNumberFormat="1" applyFont="1" applyAlignment="1">
      <alignment horizontal="right" vertical="center"/>
    </xf>
    <xf numFmtId="0" fontId="10" fillId="2" borderId="0" xfId="2" applyNumberFormat="1" applyFont="1" applyFill="1" applyAlignment="1">
      <alignment horizontal="center" vertical="center"/>
    </xf>
    <xf numFmtId="0" fontId="15" fillId="0" borderId="18" xfId="2" applyNumberFormat="1" applyFont="1" applyBorder="1" applyAlignment="1">
      <alignment horizontal="center" vertical="center"/>
    </xf>
    <xf numFmtId="0" fontId="10" fillId="2" borderId="24" xfId="2" applyNumberFormat="1" applyFont="1" applyFill="1" applyBorder="1" applyAlignment="1">
      <alignment horizontal="center" vertical="center"/>
    </xf>
    <xf numFmtId="0" fontId="10" fillId="0" borderId="0" xfId="2" applyNumberFormat="1" applyFont="1" applyAlignment="1">
      <alignment horizontal="center" vertical="center"/>
    </xf>
    <xf numFmtId="0" fontId="13" fillId="0" borderId="0" xfId="2" applyNumberFormat="1" applyFont="1" applyAlignment="1">
      <alignment horizontal="right" vertical="center"/>
    </xf>
    <xf numFmtId="0" fontId="11" fillId="0" borderId="20" xfId="2" applyNumberFormat="1" applyFont="1" applyBorder="1" applyAlignment="1">
      <alignment horizontal="left" vertical="center"/>
    </xf>
    <xf numFmtId="0" fontId="11" fillId="0" borderId="0" xfId="2" applyNumberFormat="1" applyFont="1" applyAlignment="1">
      <alignment horizontal="left" vertical="center"/>
    </xf>
    <xf numFmtId="0" fontId="16" fillId="0" borderId="0" xfId="2" applyNumberFormat="1" applyFont="1" applyAlignment="1">
      <alignment horizontal="center" vertical="center"/>
    </xf>
    <xf numFmtId="0" fontId="18" fillId="0" borderId="7" xfId="2" applyNumberFormat="1" applyFont="1" applyBorder="1" applyAlignment="1">
      <alignment horizontal="center" vertical="center"/>
    </xf>
    <xf numFmtId="0" fontId="18" fillId="0" borderId="8" xfId="2" applyNumberFormat="1" applyFont="1" applyBorder="1" applyAlignment="1">
      <alignment horizontal="center" vertical="center"/>
    </xf>
    <xf numFmtId="0" fontId="18" fillId="0" borderId="9" xfId="2" applyNumberFormat="1" applyFont="1" applyBorder="1" applyAlignment="1">
      <alignment horizontal="center" vertical="center"/>
    </xf>
    <xf numFmtId="0" fontId="8" fillId="0" borderId="17" xfId="2" applyNumberFormat="1" applyFont="1" applyBorder="1" applyAlignment="1">
      <alignment horizontal="center"/>
    </xf>
    <xf numFmtId="165" fontId="8" fillId="0" borderId="17" xfId="2" applyFont="1" applyBorder="1" applyAlignment="1">
      <alignment horizontal="center"/>
    </xf>
    <xf numFmtId="165" fontId="8" fillId="0" borderId="22" xfId="2" applyFont="1" applyBorder="1" applyAlignment="1">
      <alignment horizontal="center"/>
    </xf>
    <xf numFmtId="165" fontId="8" fillId="0" borderId="21" xfId="2" applyFont="1" applyBorder="1" applyAlignment="1">
      <alignment horizontal="center"/>
    </xf>
    <xf numFmtId="0" fontId="15" fillId="0" borderId="0" xfId="2" applyNumberFormat="1" applyFont="1" applyAlignment="1">
      <alignment horizontal="center" vertical="center"/>
    </xf>
    <xf numFmtId="3" fontId="35" fillId="2" borderId="28" xfId="2" applyNumberFormat="1" applyFont="1" applyFill="1" applyBorder="1" applyAlignment="1">
      <alignment horizontal="center" vertical="center"/>
    </xf>
    <xf numFmtId="0" fontId="42" fillId="2" borderId="0" xfId="2" applyNumberFormat="1" applyFont="1" applyFill="1" applyAlignment="1">
      <alignment horizontal="right" vertical="center"/>
    </xf>
    <xf numFmtId="0" fontId="39" fillId="2" borderId="0" xfId="2" applyNumberFormat="1" applyFont="1" applyFill="1" applyAlignment="1">
      <alignment horizontal="right" vertical="center"/>
    </xf>
    <xf numFmtId="165" fontId="33" fillId="2" borderId="28" xfId="2" applyFont="1" applyFill="1" applyBorder="1" applyAlignment="1">
      <alignment horizontal="center"/>
    </xf>
    <xf numFmtId="165" fontId="33" fillId="2" borderId="29" xfId="2" applyFont="1" applyFill="1" applyBorder="1" applyAlignment="1">
      <alignment horizontal="center"/>
    </xf>
    <xf numFmtId="165" fontId="33" fillId="2" borderId="30" xfId="2" applyFont="1" applyFill="1" applyBorder="1" applyAlignment="1">
      <alignment horizontal="center"/>
    </xf>
    <xf numFmtId="0" fontId="38" fillId="2" borderId="0" xfId="2" applyNumberFormat="1" applyFont="1" applyFill="1" applyAlignment="1">
      <alignment horizontal="right" vertical="center"/>
    </xf>
    <xf numFmtId="0" fontId="39" fillId="2" borderId="20" xfId="2" applyNumberFormat="1" applyFont="1" applyFill="1" applyBorder="1" applyAlignment="1">
      <alignment horizontal="left" vertical="center"/>
    </xf>
    <xf numFmtId="0" fontId="39" fillId="2" borderId="0" xfId="2" applyNumberFormat="1" applyFont="1" applyFill="1" applyAlignment="1">
      <alignment horizontal="left" vertical="center"/>
    </xf>
    <xf numFmtId="0" fontId="33" fillId="2" borderId="28" xfId="2" applyNumberFormat="1" applyFont="1" applyFill="1" applyBorder="1" applyAlignment="1">
      <alignment horizontal="center"/>
    </xf>
    <xf numFmtId="0" fontId="51" fillId="4" borderId="7" xfId="2" applyNumberFormat="1" applyFont="1" applyFill="1" applyBorder="1" applyAlignment="1">
      <alignment horizontal="center" vertical="center"/>
    </xf>
    <xf numFmtId="0" fontId="51" fillId="4" borderId="8" xfId="2" applyNumberFormat="1" applyFont="1" applyFill="1" applyBorder="1" applyAlignment="1">
      <alignment horizontal="center" vertical="center"/>
    </xf>
    <xf numFmtId="0" fontId="51" fillId="4" borderId="9" xfId="2" applyNumberFormat="1" applyFont="1" applyFill="1" applyBorder="1" applyAlignment="1">
      <alignment horizontal="center" vertical="center"/>
    </xf>
  </cellXfs>
  <cellStyles count="4">
    <cellStyle name="Comma 2" xfId="3" xr:uid="{00000000-0005-0000-0000-000000000000}"/>
    <cellStyle name="Normal" xfId="0" builtinId="0"/>
    <cellStyle name="Normal 2" xfId="2" xr:uid="{00000000-0005-0000-0000-000002000000}"/>
    <cellStyle name="Percent" xfId="1" builtinId="5"/>
  </cellStyles>
  <dxfs count="5">
    <dxf>
      <font>
        <b/>
        <i val="0"/>
        <color rgb="FF00B050"/>
      </font>
    </dxf>
    <dxf>
      <font>
        <b/>
        <i val="0"/>
        <color rgb="FFC00000"/>
      </font>
    </dxf>
    <dxf>
      <font>
        <b/>
        <i val="0"/>
        <color rgb="FF00B050"/>
      </font>
    </dxf>
    <dxf>
      <font>
        <b/>
        <i val="0"/>
        <color rgb="FFC00000"/>
      </font>
    </dxf>
    <dxf>
      <font>
        <color rgb="FFEE162D"/>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AEAEA"/>
      <rgbColor rgb="00FF0000"/>
      <rgbColor rgb="0078C7EB"/>
      <rgbColor rgb="003D855A"/>
      <rgbColor rgb="00A4D867"/>
      <rgbColor rgb="00FFFFFF"/>
      <rgbColor rgb="00CDB6D9"/>
      <rgbColor rgb="00FFFFFF"/>
      <rgbColor rgb="00009ACF"/>
      <rgbColor rgb="000A5D3D"/>
      <rgbColor rgb="0076B900"/>
      <rgbColor rgb="006686A9"/>
      <rgbColor rgb="009173D3"/>
      <rgbColor rgb="00C0C0C0"/>
      <rgbColor rgb="00808080"/>
      <rgbColor rgb="00B06B14"/>
      <rgbColor rgb="00317023"/>
      <rgbColor rgb="0000608A"/>
      <rgbColor rgb="004A207E"/>
      <rgbColor rgb="00F1AB00"/>
      <rgbColor rgb="0076B900"/>
      <rgbColor rgb="00009ACF"/>
      <rgbColor rgb="009173D3"/>
      <rgbColor rgb="00B06B14"/>
      <rgbColor rgb="00317023"/>
      <rgbColor rgb="0000608A"/>
      <rgbColor rgb="004A207E"/>
      <rgbColor rgb="00F1AB00"/>
      <rgbColor rgb="0076B900"/>
      <rgbColor rgb="00009ACF"/>
      <rgbColor rgb="009173D3"/>
      <rgbColor rgb="00A3D693"/>
      <rgbColor rgb="00DDCEDE"/>
      <rgbColor rgb="0098D0D6"/>
      <rgbColor rgb="00C5E2A2"/>
      <rgbColor rgb="00D6FFB0"/>
      <rgbColor rgb="00FFFF99"/>
      <rgbColor rgb="00CCD7E2"/>
      <rgbColor rgb="00E2E5AA"/>
      <rgbColor rgb="0070AE77"/>
      <rgbColor rgb="00BFAFE4"/>
      <rgbColor rgb="0098D626"/>
      <rgbColor rgb="00DCDF69"/>
      <rgbColor rgb="00F2D65E"/>
      <rgbColor rgb="00F1AB00"/>
      <rgbColor rgb="00335D8C"/>
      <rgbColor rgb="00969696"/>
      <rgbColor rgb="004A207E"/>
      <rgbColor rgb="003ABBE5"/>
      <rgbColor rgb="0000608A"/>
      <rgbColor rgb="00008000"/>
      <rgbColor rgb="00B06B14"/>
      <rgbColor rgb="0099AEC5"/>
      <rgbColor rgb="0000356F"/>
      <rgbColor rgb="00333333"/>
    </indexedColors>
    <mruColors>
      <color rgb="FFEE162D"/>
      <color rgb="FF51759D"/>
      <color rgb="FFFFCC99"/>
      <color rgb="FF9E0616"/>
      <color rgb="FFEDE5EF"/>
      <color rgb="FFCBD9C9"/>
      <color rgb="FFE0E9DF"/>
      <color rgb="FFD8D8D8"/>
      <color rgb="FFDEE7DD"/>
      <color rgb="FF919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eetMetadata" Target="metadata.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8886-40D5-BBBE-770C5B25BAF2}"/>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8886-40D5-BBBE-770C5B25BAF2}"/>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8886-40D5-BBBE-770C5B25BAF2}"/>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8886-40D5-BBBE-770C5B25BAF2}"/>
              </c:ext>
            </c:extLst>
          </c:dPt>
          <c:dLbls>
            <c:dLbl>
              <c:idx val="3"/>
              <c:layout>
                <c:manualLayout>
                  <c:x val="2.0053129694170388E-3"/>
                  <c:y val="6.788419637561296E-4"/>
                </c:manualLayout>
              </c:layout>
              <c:tx>
                <c:rich>
                  <a:bodyPr/>
                  <a:lstStyle/>
                  <a:p>
                    <a:fld id="{E0DF72C9-D51B-4209-AE81-958D0CC2158E}" type="CELLREF">
                      <a:rPr lang="en-US" sz="1100">
                        <a:solidFill>
                          <a:sysClr val="windowText" lastClr="000000"/>
                        </a:solidFill>
                      </a:rPr>
                      <a:pPr/>
                      <a:t>[CELLREF]</a:t>
                    </a:fld>
                    <a:endParaRPr lang="es-ES"/>
                  </a:p>
                </c:rich>
              </c:tx>
              <c:showLegendKey val="0"/>
              <c:showVal val="1"/>
              <c:showCatName val="0"/>
              <c:showSerName val="0"/>
              <c:showPercent val="0"/>
              <c:showBubbleSize val="0"/>
              <c:extLst>
                <c:ext xmlns:c15="http://schemas.microsoft.com/office/drawing/2012/chart" uri="{CE6537A1-D6FC-4f65-9D91-7224C49458BB}">
                  <c15:dlblFieldTable>
                    <c15:dlblFTEntry>
                      <c15:txfldGUID>{E0DF72C9-D51B-4209-AE81-958D0CC2158E}</c15:txfldGUID>
                      <c15:f>Charts!$C$31</c15:f>
                      <c15:dlblFieldTableCache>
                        <c:ptCount val="1"/>
                        <c:pt idx="0">
                          <c:v>6%</c:v>
                        </c:pt>
                      </c15:dlblFieldTableCache>
                    </c15:dlblFTEntry>
                  </c15:dlblFieldTable>
                  <c15:showDataLabelsRange val="0"/>
                </c:ext>
                <c:ext xmlns:c16="http://schemas.microsoft.com/office/drawing/2014/chart" uri="{C3380CC4-5D6E-409C-BE32-E72D297353CC}">
                  <c16:uniqueId val="{00000007-8886-40D5-BBBE-770C5B25BAF2}"/>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Charts!$B$28:$B$31</c:f>
              <c:strCache>
                <c:ptCount val="4"/>
                <c:pt idx="0">
                  <c:v>Europe</c:v>
                </c:pt>
                <c:pt idx="1">
                  <c:v>North America</c:v>
                </c:pt>
                <c:pt idx="2">
                  <c:v>South America</c:v>
                </c:pt>
                <c:pt idx="3">
                  <c:v>APAC</c:v>
                </c:pt>
              </c:strCache>
            </c:strRef>
          </c:cat>
          <c:val>
            <c:numRef>
              <c:f>Charts!$C$28:$C$31</c:f>
              <c:numCache>
                <c:formatCode>0%</c:formatCode>
                <c:ptCount val="4"/>
                <c:pt idx="0">
                  <c:v>0.32387077644905132</c:v>
                </c:pt>
                <c:pt idx="1">
                  <c:v>0.53010614312481086</c:v>
                </c:pt>
                <c:pt idx="2">
                  <c:v>8.9540187371284788E-2</c:v>
                </c:pt>
                <c:pt idx="3">
                  <c:v>5.6482893054852996E-2</c:v>
                </c:pt>
              </c:numCache>
            </c:numRef>
          </c:val>
          <c:extLst>
            <c:ext xmlns:c16="http://schemas.microsoft.com/office/drawing/2014/chart" uri="{C3380CC4-5D6E-409C-BE32-E72D297353CC}">
              <c16:uniqueId val="{00000008-8886-40D5-BBBE-770C5B25BAF2}"/>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82044103842783"/>
          <c:y val="3.466689102636266E-2"/>
          <c:w val="0.73878856260924974"/>
          <c:h val="0.9372877509265225"/>
        </c:manualLayout>
      </c:layout>
      <c:barChart>
        <c:barDir val="bar"/>
        <c:grouping val="clustered"/>
        <c:varyColors val="0"/>
        <c:ser>
          <c:idx val="2"/>
          <c:order val="0"/>
          <c:tx>
            <c:strRef>
              <c:f>Charts!$B$9</c:f>
              <c:strCache>
                <c:ptCount val="1"/>
                <c:pt idx="0">
                  <c:v>EDPR</c:v>
                </c:pt>
              </c:strCache>
            </c:strRef>
          </c:tx>
          <c:spPr>
            <a:solidFill>
              <a:schemeClr val="accent1">
                <a:lumMod val="60000"/>
                <a:lumOff val="40000"/>
              </a:schemeClr>
            </a:solidFill>
            <a:ln>
              <a:noFill/>
            </a:ln>
            <a:effectLst/>
          </c:spPr>
          <c:invertIfNegative val="0"/>
          <c:dLbls>
            <c:dLbl>
              <c:idx val="0"/>
              <c:layout>
                <c:manualLayout>
                  <c:x val="-2.467794792175741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294353510632407"/>
                      <c:h val="8.7649060093057576E-2"/>
                    </c:manualLayout>
                  </c15:layout>
                </c:ext>
                <c:ext xmlns:c16="http://schemas.microsoft.com/office/drawing/2014/chart" uri="{C3380CC4-5D6E-409C-BE32-E72D297353CC}">
                  <c16:uniqueId val="{00000000-F8AB-404C-8EE2-45294AAA3A8C}"/>
                </c:ext>
              </c:extLst>
            </c:dLbl>
            <c:spPr>
              <a:noFill/>
              <a:ln>
                <a:noFill/>
              </a:ln>
              <a:effectLst/>
            </c:spPr>
            <c:txPr>
              <a:bodyPr rot="0" vert="horz"/>
              <a:lstStyle/>
              <a:p>
                <a:pPr>
                  <a:defRPr sz="1100" b="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Charts!$C$9</c:f>
              <c:numCache>
                <c:formatCode>0%</c:formatCode>
                <c:ptCount val="1"/>
                <c:pt idx="0">
                  <c:v>0.94718714126695358</c:v>
                </c:pt>
              </c:numCache>
            </c:numRef>
          </c:val>
          <c:extLst>
            <c:ext xmlns:c16="http://schemas.microsoft.com/office/drawing/2014/chart" uri="{C3380CC4-5D6E-409C-BE32-E72D297353CC}">
              <c16:uniqueId val="{00000001-F8AB-404C-8EE2-45294AAA3A8C}"/>
            </c:ext>
          </c:extLst>
        </c:ser>
        <c:ser>
          <c:idx val="3"/>
          <c:order val="2"/>
          <c:tx>
            <c:strRef>
              <c:f>Charts!$B$6</c:f>
              <c:strCache>
                <c:ptCount val="1"/>
                <c:pt idx="0">
                  <c:v>S. America</c:v>
                </c:pt>
              </c:strCache>
            </c:strRef>
          </c:tx>
          <c:spPr>
            <a:solidFill>
              <a:schemeClr val="accent4">
                <a:lumMod val="40000"/>
                <a:lumOff val="60000"/>
              </a:schemeClr>
            </a:solidFill>
            <a:ln>
              <a:noFill/>
            </a:ln>
            <a:effectLst/>
          </c:spPr>
          <c:invertIfNegative val="0"/>
          <c:dPt>
            <c:idx val="0"/>
            <c:invertIfNegative val="0"/>
            <c:bubble3D val="0"/>
            <c:extLst>
              <c:ext xmlns:c16="http://schemas.microsoft.com/office/drawing/2014/chart" uri="{C3380CC4-5D6E-409C-BE32-E72D297353CC}">
                <c16:uniqueId val="{00000002-F8AB-404C-8EE2-45294AAA3A8C}"/>
              </c:ext>
            </c:extLst>
          </c:dPt>
          <c:dLbls>
            <c:dLbl>
              <c:idx val="0"/>
              <c:layout>
                <c:manualLayout>
                  <c:x val="-2.265522791139723E-3"/>
                  <c:y val="2.330251652111927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4723289606937813E-2"/>
                    </c:manualLayout>
                  </c15:layout>
                </c:ext>
                <c:ext xmlns:c16="http://schemas.microsoft.com/office/drawing/2014/chart" uri="{C3380CC4-5D6E-409C-BE32-E72D297353CC}">
                  <c16:uniqueId val="{00000002-F8AB-404C-8EE2-45294AAA3A8C}"/>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Charts!$C$6</c:f>
              <c:numCache>
                <c:formatCode>0%</c:formatCode>
                <c:ptCount val="1"/>
                <c:pt idx="0">
                  <c:v>0.94213321387302662</c:v>
                </c:pt>
              </c:numCache>
            </c:numRef>
          </c:val>
          <c:extLst>
            <c:ext xmlns:c16="http://schemas.microsoft.com/office/drawing/2014/chart" uri="{C3380CC4-5D6E-409C-BE32-E72D297353CC}">
              <c16:uniqueId val="{00000003-F8AB-404C-8EE2-45294AAA3A8C}"/>
            </c:ext>
          </c:extLst>
        </c:ser>
        <c:ser>
          <c:idx val="0"/>
          <c:order val="3"/>
          <c:tx>
            <c:strRef>
              <c:f>Charts!$B$7</c:f>
              <c:strCache>
                <c:ptCount val="1"/>
                <c:pt idx="0">
                  <c:v>North America</c:v>
                </c:pt>
              </c:strCache>
            </c:strRef>
          </c:tx>
          <c:spPr>
            <a:solidFill>
              <a:schemeClr val="accent3">
                <a:lumMod val="40000"/>
                <a:lumOff val="60000"/>
              </a:schemeClr>
            </a:solidFill>
            <a:ln>
              <a:noFill/>
            </a:ln>
            <a:effectLst/>
          </c:spPr>
          <c:invertIfNegative val="0"/>
          <c:dLbls>
            <c:dLbl>
              <c:idx val="0"/>
              <c:spPr>
                <a:noFill/>
                <a:ln>
                  <a:noFill/>
                </a:ln>
                <a:effectLst/>
              </c:spPr>
              <c:txPr>
                <a:bodyPr rot="0" vert="horz" lIns="0" tIns="0" rIns="0" b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352119585711516"/>
                      <c:h val="8.0578302186305226E-2"/>
                    </c:manualLayout>
                  </c15:layout>
                </c:ext>
                <c:ext xmlns:c16="http://schemas.microsoft.com/office/drawing/2014/chart" uri="{C3380CC4-5D6E-409C-BE32-E72D297353CC}">
                  <c16:uniqueId val="{00000004-F8AB-404C-8EE2-45294AAA3A8C}"/>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Charts!$C$7</c:f>
              <c:numCache>
                <c:formatCode>0%</c:formatCode>
                <c:ptCount val="1"/>
                <c:pt idx="0">
                  <c:v>0.95377309612258432</c:v>
                </c:pt>
              </c:numCache>
            </c:numRef>
          </c:val>
          <c:extLst>
            <c:ext xmlns:c16="http://schemas.microsoft.com/office/drawing/2014/chart" uri="{C3380CC4-5D6E-409C-BE32-E72D297353CC}">
              <c16:uniqueId val="{00000005-F8AB-404C-8EE2-45294AAA3A8C}"/>
            </c:ext>
          </c:extLst>
        </c:ser>
        <c:ser>
          <c:idx val="1"/>
          <c:order val="4"/>
          <c:tx>
            <c:strRef>
              <c:f>Charts!$B$8</c:f>
              <c:strCache>
                <c:ptCount val="1"/>
                <c:pt idx="0">
                  <c:v>Europe</c:v>
                </c:pt>
              </c:strCache>
            </c:strRef>
          </c:tx>
          <c:spPr>
            <a:solidFill>
              <a:schemeClr val="accent5">
                <a:lumMod val="40000"/>
                <a:lumOff val="60000"/>
              </a:schemeClr>
            </a:solidFill>
            <a:ln>
              <a:noFill/>
            </a:ln>
            <a:effectLst/>
          </c:spPr>
          <c:invertIfNegative val="0"/>
          <c:dLbls>
            <c:dLbl>
              <c:idx val="0"/>
              <c:spPr>
                <a:noFill/>
                <a:ln>
                  <a:noFill/>
                </a:ln>
                <a:effectLst/>
              </c:spPr>
              <c:txPr>
                <a:bodyPr rot="0" vertOverflow="clip" horzOverflow="clip" vert="horz" lIns="0" r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7006936227070911E-2"/>
                    </c:manualLayout>
                  </c15:layout>
                </c:ext>
                <c:ext xmlns:c16="http://schemas.microsoft.com/office/drawing/2014/chart" uri="{C3380CC4-5D6E-409C-BE32-E72D297353CC}">
                  <c16:uniqueId val="{00000006-F8AB-404C-8EE2-45294AAA3A8C}"/>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Charts!$C$8</c:f>
              <c:numCache>
                <c:formatCode>0%</c:formatCode>
                <c:ptCount val="1"/>
                <c:pt idx="0">
                  <c:v>0.93292847457102335</c:v>
                </c:pt>
              </c:numCache>
            </c:numRef>
          </c:val>
          <c:extLst>
            <c:ext xmlns:c16="http://schemas.microsoft.com/office/drawing/2014/chart" uri="{C3380CC4-5D6E-409C-BE32-E72D297353CC}">
              <c16:uniqueId val="{00000007-F8AB-404C-8EE2-45294AAA3A8C}"/>
            </c:ext>
          </c:extLst>
        </c:ser>
        <c:dLbls>
          <c:dLblPos val="inBase"/>
          <c:showLegendKey val="0"/>
          <c:showVal val="1"/>
          <c:showCatName val="0"/>
          <c:showSerName val="0"/>
          <c:showPercent val="0"/>
          <c:showBubbleSize val="0"/>
        </c:dLbls>
        <c:gapWidth val="100"/>
        <c:overlap val="-80"/>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Charts!$B$5</c15:sqref>
                        </c15:formulaRef>
                      </c:ext>
                    </c:extLst>
                    <c:strCache>
                      <c:ptCount val="1"/>
                      <c:pt idx="0">
                        <c:v>APAC</c:v>
                      </c:pt>
                    </c:strCache>
                  </c:strRef>
                </c:tx>
                <c:spPr>
                  <a:solidFill>
                    <a:schemeClr val="accent6">
                      <a:lumMod val="40000"/>
                      <a:lumOff val="60000"/>
                    </a:schemeClr>
                  </a:solidFill>
                  <a:ln>
                    <a:noFill/>
                  </a:ln>
                  <a:effectLst/>
                </c:spPr>
                <c:invertIfNegative val="0"/>
                <c:dLbls>
                  <c:dLbl>
                    <c:idx val="0"/>
                    <c:layout>
                      <c:manualLayout>
                        <c:x val="4.6803542336580767E-2"/>
                        <c:y val="-1.1182568806798261E-16"/>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F8AB-404C-8EE2-45294AAA3A8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0"/>
                    </c:ext>
                  </c:extLst>
                </c:dLbls>
                <c:val>
                  <c:numRef>
                    <c:extLst>
                      <c:ext uri="{02D57815-91ED-43cb-92C2-25804820EDAC}">
                        <c15:formulaRef>
                          <c15:sqref>Charts!$C$5</c15:sqref>
                        </c15:formulaRef>
                      </c:ext>
                    </c:extLst>
                    <c:numCache>
                      <c:formatCode>0%</c:formatCode>
                      <c:ptCount val="1"/>
                      <c:pt idx="0">
                        <c:v>0</c:v>
                      </c:pt>
                    </c:numCache>
                  </c:numRef>
                </c:val>
                <c:extLst>
                  <c:ext xmlns:c16="http://schemas.microsoft.com/office/drawing/2014/chart" uri="{C3380CC4-5D6E-409C-BE32-E72D297353CC}">
                    <c16:uniqueId val="{00000009-F8AB-404C-8EE2-45294AAA3A8C}"/>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vert="horz"/>
          <a:lstStyle/>
          <a:p>
            <a:pPr>
              <a:defRPr/>
            </a:pPr>
            <a:endParaRPr lang="en-US"/>
          </a:p>
        </c:txPr>
        <c:crossAx val="711603824"/>
        <c:crosses val="autoZero"/>
        <c:auto val="1"/>
        <c:lblAlgn val="ctr"/>
        <c:lblOffset val="100"/>
        <c:noMultiLvlLbl val="0"/>
      </c:catAx>
      <c:valAx>
        <c:axId val="711603824"/>
        <c:scaling>
          <c:orientation val="minMax"/>
          <c:max val="1.5"/>
          <c:min val="0.5"/>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629661573584"/>
          <c:y val="0.11505183323380479"/>
          <c:w val="0.52674067685283199"/>
          <c:h val="0.67570586863869508"/>
        </c:manualLayout>
      </c:layout>
      <c:doughnutChart>
        <c:varyColors val="1"/>
        <c:ser>
          <c:idx val="0"/>
          <c:order val="0"/>
          <c:spPr>
            <a:ln>
              <a:noFill/>
            </a:ln>
          </c:spPr>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FF3C-43AD-9398-D4977EF6467E}"/>
              </c:ext>
            </c:extLst>
          </c:dPt>
          <c:dPt>
            <c:idx val="1"/>
            <c:bubble3D val="0"/>
            <c:spPr>
              <a:solidFill>
                <a:schemeClr val="accent4">
                  <a:lumMod val="40000"/>
                  <a:lumOff val="60000"/>
                </a:schemeClr>
              </a:solidFill>
              <a:ln w="19050">
                <a:noFill/>
              </a:ln>
              <a:effectLst/>
            </c:spPr>
            <c:extLst>
              <c:ext xmlns:c16="http://schemas.microsoft.com/office/drawing/2014/chart" uri="{C3380CC4-5D6E-409C-BE32-E72D297353CC}">
                <c16:uniqueId val="{00000003-FF3C-43AD-9398-D4977EF6467E}"/>
              </c:ext>
            </c:extLst>
          </c:dPt>
          <c:dPt>
            <c:idx val="2"/>
            <c:bubble3D val="0"/>
            <c:spPr>
              <a:solidFill>
                <a:schemeClr val="accent3">
                  <a:lumMod val="40000"/>
                  <a:lumOff val="60000"/>
                </a:schemeClr>
              </a:solidFill>
              <a:ln w="19050">
                <a:noFill/>
              </a:ln>
              <a:effectLst/>
            </c:spPr>
            <c:extLst>
              <c:ext xmlns:c16="http://schemas.microsoft.com/office/drawing/2014/chart" uri="{C3380CC4-5D6E-409C-BE32-E72D297353CC}">
                <c16:uniqueId val="{00000005-FF3C-43AD-9398-D4977EF6467E}"/>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FF3C-43AD-9398-D4977EF6467E}"/>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FF3C-43AD-9398-D4977EF6467E}"/>
              </c:ext>
            </c:extLst>
          </c:dPt>
          <c:dLbls>
            <c:dLbl>
              <c:idx val="2"/>
              <c:layout>
                <c:manualLayout>
                  <c:x val="2.4392160075577965E-3"/>
                  <c:y val="-7.5742765874209925E-4"/>
                </c:manualLayout>
              </c:layout>
              <c:tx>
                <c:rich>
                  <a:bodyPr/>
                  <a:lstStyle/>
                  <a:p>
                    <a:fld id="{71479098-D2D8-4AF5-B359-0F0920F4AE0A}" type="VALUE">
                      <a:rPr lang="en-US">
                        <a:solidFill>
                          <a:sysClr val="windowText" lastClr="000000"/>
                        </a:solidFill>
                      </a:rPr>
                      <a:pPr/>
                      <a:t>[VALUE]</a:t>
                    </a:fld>
                    <a:endParaRPr lang="es-E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F3C-43AD-9398-D4977EF6467E}"/>
                </c:ext>
              </c:extLst>
            </c:dLbl>
            <c:dLbl>
              <c:idx val="4"/>
              <c:layout>
                <c:manualLayout>
                  <c:x val="2.2222222222222133E-2"/>
                  <c:y val="1.5437599540979043E-2"/>
                </c:manualLayout>
              </c:layout>
              <c:numFmt formatCode="0%" sourceLinked="0"/>
              <c:spPr>
                <a:solidFill>
                  <a:schemeClr val="bg1">
                    <a:lumMod val="85000"/>
                  </a:schemeClr>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3C-43AD-9398-D4977EF6467E}"/>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Charts!$A$61:$A$65</c:f>
              <c:strCache>
                <c:ptCount val="5"/>
                <c:pt idx="0">
                  <c:v>Eólico Onshore</c:v>
                </c:pt>
                <c:pt idx="1">
                  <c:v>Solar Centralizado</c:v>
                </c:pt>
                <c:pt idx="2">
                  <c:v>Solar DG</c:v>
                </c:pt>
                <c:pt idx="3">
                  <c:v>Eólico Offshore</c:v>
                </c:pt>
                <c:pt idx="4">
                  <c:v>Baterias</c:v>
                </c:pt>
              </c:strCache>
            </c:strRef>
          </c:cat>
          <c:val>
            <c:numRef>
              <c:f>Charts!$C$61:$C$65</c:f>
              <c:numCache>
                <c:formatCode>0%</c:formatCode>
                <c:ptCount val="5"/>
                <c:pt idx="0">
                  <c:v>0.64412726464347536</c:v>
                </c:pt>
                <c:pt idx="1">
                  <c:v>0.24243226826321707</c:v>
                </c:pt>
                <c:pt idx="2">
                  <c:v>5.0185518502857955E-2</c:v>
                </c:pt>
                <c:pt idx="3">
                  <c:v>3.6279506828467763E-2</c:v>
                </c:pt>
                <c:pt idx="4" formatCode="0.0%">
                  <c:v>2.6975436857846476E-2</c:v>
                </c:pt>
              </c:numCache>
            </c:numRef>
          </c:val>
          <c:extLst>
            <c:ext xmlns:c16="http://schemas.microsoft.com/office/drawing/2014/chart" uri="{C3380CC4-5D6E-409C-BE32-E72D297353CC}">
              <c16:uniqueId val="{0000000A-FF3C-43AD-9398-D4977EF6467E}"/>
            </c:ext>
          </c:extLst>
        </c:ser>
        <c:dLbls>
          <c:showLegendKey val="0"/>
          <c:showVal val="0"/>
          <c:showCatName val="0"/>
          <c:showSerName val="0"/>
          <c:showPercent val="0"/>
          <c:showBubbleSize val="0"/>
          <c:showLeaderLines val="0"/>
        </c:dLbls>
        <c:firstSliceAng val="98"/>
        <c:holeSize val="75"/>
      </c:doughnutChart>
      <c:spPr>
        <a:noFill/>
        <a:ln>
          <a:noFill/>
        </a:ln>
        <a:effectLst/>
      </c:spPr>
    </c:plotArea>
    <c:legend>
      <c:legendPos val="b"/>
      <c:layout>
        <c:manualLayout>
          <c:xMode val="edge"/>
          <c:yMode val="edge"/>
          <c:x val="0"/>
          <c:y val="0.84625574171916651"/>
          <c:w val="0.99411601714342668"/>
          <c:h val="0.1265142574441626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80072147012615E-2"/>
          <c:y val="8.6012832652225604E-3"/>
          <c:w val="0.86218390904751807"/>
          <c:h val="0.52543718998273048"/>
        </c:manualLayout>
      </c:layout>
      <c:barChart>
        <c:barDir val="bar"/>
        <c:grouping val="percentStacked"/>
        <c:varyColors val="0"/>
        <c:ser>
          <c:idx val="0"/>
          <c:order val="0"/>
          <c:tx>
            <c:strRef>
              <c:f>Charts!$G$44</c:f>
              <c:strCache>
                <c:ptCount val="1"/>
                <c:pt idx="0">
                  <c:v>Eólico Onshore</c:v>
                </c:pt>
              </c:strCache>
            </c:strRef>
          </c:tx>
          <c:spPr>
            <a:solidFill>
              <a:schemeClr val="accent5">
                <a:lumMod val="40000"/>
                <a:lumOff val="60000"/>
              </a:schemeClr>
            </a:solidFill>
            <a:ln w="19050">
              <a:noFill/>
            </a:ln>
            <a:effectLst/>
          </c:spPr>
          <c:invertIfNegative val="0"/>
          <c:dPt>
            <c:idx val="4"/>
            <c:invertIfNegative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ABD0-4203-966A-1E0875D56A0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accent5">
                          <a:lumMod val="20000"/>
                          <a:lumOff val="80000"/>
                        </a:schemeClr>
                      </a:solidFill>
                      <a:round/>
                    </a:ln>
                    <a:effectLst/>
                  </c:spPr>
                </c15:leaderLines>
              </c:ext>
            </c:extLst>
          </c:dLbls>
          <c:val>
            <c:numRef>
              <c:f>Charts!$I$44</c:f>
              <c:numCache>
                <c:formatCode>0%</c:formatCode>
                <c:ptCount val="1"/>
                <c:pt idx="0">
                  <c:v>0.75871508514218255</c:v>
                </c:pt>
              </c:numCache>
            </c:numRef>
          </c:val>
          <c:extLst>
            <c:ext xmlns:c16="http://schemas.microsoft.com/office/drawing/2014/chart" uri="{C3380CC4-5D6E-409C-BE32-E72D297353CC}">
              <c16:uniqueId val="{00000002-ABD0-4203-966A-1E0875D56A05}"/>
            </c:ext>
          </c:extLst>
        </c:ser>
        <c:ser>
          <c:idx val="1"/>
          <c:order val="1"/>
          <c:tx>
            <c:strRef>
              <c:f>Charts!$G$45</c:f>
              <c:strCache>
                <c:ptCount val="1"/>
                <c:pt idx="0">
                  <c:v>Solar Centralizado</c:v>
                </c:pt>
              </c:strCache>
            </c:strRef>
          </c:tx>
          <c:spPr>
            <a:solidFill>
              <a:schemeClr val="accent4">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Charts!$I$45</c:f>
              <c:numCache>
                <c:formatCode>0%</c:formatCode>
                <c:ptCount val="1"/>
                <c:pt idx="0">
                  <c:v>0.21337398845622238</c:v>
                </c:pt>
              </c:numCache>
            </c:numRef>
          </c:val>
          <c:extLst>
            <c:ext xmlns:c16="http://schemas.microsoft.com/office/drawing/2014/chart" uri="{C3380CC4-5D6E-409C-BE32-E72D297353CC}">
              <c16:uniqueId val="{00000003-ABD0-4203-966A-1E0875D56A05}"/>
            </c:ext>
          </c:extLst>
        </c:ser>
        <c:ser>
          <c:idx val="2"/>
          <c:order val="2"/>
          <c:tx>
            <c:strRef>
              <c:f>Charts!$G$46</c:f>
              <c:strCache>
                <c:ptCount val="1"/>
                <c:pt idx="0">
                  <c:v>Solar DG</c:v>
                </c:pt>
              </c:strCache>
            </c:strRef>
          </c:tx>
          <c:spPr>
            <a:solidFill>
              <a:schemeClr val="accent3">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Charts!$I$46</c:f>
              <c:numCache>
                <c:formatCode>0%</c:formatCode>
                <c:ptCount val="1"/>
                <c:pt idx="0">
                  <c:v>2.7910926401595038E-2</c:v>
                </c:pt>
              </c:numCache>
            </c:numRef>
          </c:val>
          <c:extLst>
            <c:ext xmlns:c16="http://schemas.microsoft.com/office/drawing/2014/chart" uri="{C3380CC4-5D6E-409C-BE32-E72D297353CC}">
              <c16:uniqueId val="{00000004-ABD0-4203-966A-1E0875D56A05}"/>
            </c:ext>
          </c:extLst>
        </c:ser>
        <c:dLbls>
          <c:dLblPos val="ctr"/>
          <c:showLegendKey val="0"/>
          <c:showVal val="1"/>
          <c:showCatName val="0"/>
          <c:showSerName val="0"/>
          <c:showPercent val="0"/>
          <c:showBubbleSize val="0"/>
        </c:dLbls>
        <c:gapWidth val="100"/>
        <c:overlap val="100"/>
        <c:axId val="867497184"/>
        <c:axId val="1538520912"/>
      </c:barChart>
      <c:valAx>
        <c:axId val="1538520912"/>
        <c:scaling>
          <c:orientation val="minMax"/>
          <c:min val="0.30000000000000004"/>
        </c:scaling>
        <c:delete val="1"/>
        <c:axPos val="b"/>
        <c:numFmt formatCode="0%" sourceLinked="1"/>
        <c:majorTickMark val="out"/>
        <c:minorTickMark val="none"/>
        <c:tickLblPos val="nextTo"/>
        <c:crossAx val="867497184"/>
        <c:crosses val="autoZero"/>
        <c:crossBetween val="between"/>
      </c:valAx>
      <c:catAx>
        <c:axId val="867497184"/>
        <c:scaling>
          <c:orientation val="minMax"/>
        </c:scaling>
        <c:delete val="1"/>
        <c:axPos val="l"/>
        <c:majorTickMark val="out"/>
        <c:minorTickMark val="none"/>
        <c:tickLblPos val="nextTo"/>
        <c:crossAx val="1538520912"/>
        <c:crosses val="autoZero"/>
        <c:auto val="1"/>
        <c:lblAlgn val="ctr"/>
        <c:lblOffset val="100"/>
        <c:noMultiLvlLbl val="0"/>
      </c:catAx>
      <c:spPr>
        <a:noFill/>
        <a:ln>
          <a:noFill/>
        </a:ln>
        <a:effectLst/>
      </c:spPr>
    </c:plotArea>
    <c:legend>
      <c:legendPos val="b"/>
      <c:layout>
        <c:manualLayout>
          <c:xMode val="edge"/>
          <c:yMode val="edge"/>
          <c:x val="0.11984417896038857"/>
          <c:y val="0.45656732282252649"/>
          <c:w val="0.76031159144575755"/>
          <c:h val="0.227012282883119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43570054898424"/>
          <c:y val="3.408017616275686E-2"/>
          <c:w val="0.53461195246333115"/>
          <c:h val="0.9372877509265225"/>
        </c:manualLayout>
      </c:layout>
      <c:barChart>
        <c:barDir val="bar"/>
        <c:grouping val="clustered"/>
        <c:varyColors val="0"/>
        <c:ser>
          <c:idx val="3"/>
          <c:order val="0"/>
          <c:tx>
            <c:strRef>
              <c:f>Charts!$B$75</c:f>
              <c:strCache>
                <c:ptCount val="1"/>
                <c:pt idx="0">
                  <c:v>EDPR</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Charts!$C$75</c:f>
              <c:numCache>
                <c:formatCode>0%</c:formatCode>
                <c:ptCount val="1"/>
                <c:pt idx="0">
                  <c:v>0.27716056530796901</c:v>
                </c:pt>
              </c:numCache>
            </c:numRef>
          </c:val>
          <c:extLst>
            <c:ext xmlns:c16="http://schemas.microsoft.com/office/drawing/2014/chart" uri="{C3380CC4-5D6E-409C-BE32-E72D297353CC}">
              <c16:uniqueId val="{00000000-0DBE-4B59-990D-DD60D21DE170}"/>
            </c:ext>
          </c:extLst>
        </c:ser>
        <c:ser>
          <c:idx val="0"/>
          <c:order val="1"/>
          <c:tx>
            <c:strRef>
              <c:f>Charts!$B$71</c:f>
              <c:strCache>
                <c:ptCount val="1"/>
                <c:pt idx="0">
                  <c:v>South America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Charts!$C$71</c:f>
              <c:numCache>
                <c:formatCode>0%</c:formatCode>
                <c:ptCount val="1"/>
                <c:pt idx="0">
                  <c:v>0.30273242222756419</c:v>
                </c:pt>
              </c:numCache>
            </c:numRef>
          </c:val>
          <c:extLst>
            <c:ext xmlns:c16="http://schemas.microsoft.com/office/drawing/2014/chart" uri="{C3380CC4-5D6E-409C-BE32-E72D297353CC}">
              <c16:uniqueId val="{00000001-0DBE-4B59-990D-DD60D21DE170}"/>
            </c:ext>
          </c:extLst>
        </c:ser>
        <c:ser>
          <c:idx val="1"/>
          <c:order val="2"/>
          <c:tx>
            <c:strRef>
              <c:f>Charts!$B$72</c:f>
              <c:strCache>
                <c:ptCount val="1"/>
                <c:pt idx="0">
                  <c:v>North America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Charts!$C$72</c:f>
              <c:numCache>
                <c:formatCode>0%</c:formatCode>
                <c:ptCount val="1"/>
                <c:pt idx="0">
                  <c:v>0.30395551415516464</c:v>
                </c:pt>
              </c:numCache>
            </c:numRef>
          </c:val>
          <c:extLst>
            <c:ext xmlns:c16="http://schemas.microsoft.com/office/drawing/2014/chart" uri="{C3380CC4-5D6E-409C-BE32-E72D297353CC}">
              <c16:uniqueId val="{00000002-0DBE-4B59-990D-DD60D21DE170}"/>
            </c:ext>
          </c:extLst>
        </c:ser>
        <c:ser>
          <c:idx val="2"/>
          <c:order val="3"/>
          <c:tx>
            <c:strRef>
              <c:f>Charts!$B$73</c:f>
              <c:strCache>
                <c:ptCount val="1"/>
                <c:pt idx="0">
                  <c:v>Europe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Charts!$C$73</c:f>
              <c:numCache>
                <c:formatCode>0%</c:formatCode>
                <c:ptCount val="1"/>
                <c:pt idx="0">
                  <c:v>0.23493957216475803</c:v>
                </c:pt>
              </c:numCache>
            </c:numRef>
          </c:val>
          <c:extLst>
            <c:ext xmlns:c16="http://schemas.microsoft.com/office/drawing/2014/chart" uri="{C3380CC4-5D6E-409C-BE32-E72D297353CC}">
              <c16:uniqueId val="{00000003-0DBE-4B59-990D-DD60D21DE170}"/>
            </c:ext>
          </c:extLst>
        </c:ser>
        <c:dLbls>
          <c:dLblPos val="inBase"/>
          <c:showLegendKey val="0"/>
          <c:showVal val="1"/>
          <c:showCatName val="0"/>
          <c:showSerName val="0"/>
          <c:showPercent val="0"/>
          <c:showBubbleSize val="0"/>
        </c:dLbls>
        <c:gapWidth val="110"/>
        <c:overlap val="-64"/>
        <c:axId val="711597592"/>
        <c:axId val="711603824"/>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711603824"/>
        <c:crosses val="autoZero"/>
        <c:auto val="1"/>
        <c:lblAlgn val="ctr"/>
        <c:lblOffset val="100"/>
        <c:noMultiLvlLbl val="0"/>
      </c:catAx>
      <c:valAx>
        <c:axId val="711603824"/>
        <c:scaling>
          <c:orientation val="minMax"/>
          <c:max val="0.60000000000000009"/>
          <c:min val="0"/>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82057607875919"/>
          <c:y val="2.563719592795587E-2"/>
          <c:w val="0.73878856260924974"/>
          <c:h val="0.9372877509265225"/>
        </c:manualLayout>
      </c:layout>
      <c:barChart>
        <c:barDir val="bar"/>
        <c:grouping val="clustered"/>
        <c:varyColors val="0"/>
        <c:ser>
          <c:idx val="2"/>
          <c:order val="0"/>
          <c:tx>
            <c:strRef>
              <c:f>Charts!$B$9</c:f>
              <c:strCache>
                <c:ptCount val="1"/>
                <c:pt idx="0">
                  <c:v>EDPR</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Charts!$C$9</c:f>
              <c:numCache>
                <c:formatCode>0%</c:formatCode>
                <c:ptCount val="1"/>
                <c:pt idx="0">
                  <c:v>0.94718714126695358</c:v>
                </c:pt>
              </c:numCache>
            </c:numRef>
          </c:val>
          <c:extLst>
            <c:ext xmlns:c16="http://schemas.microsoft.com/office/drawing/2014/chart" uri="{C3380CC4-5D6E-409C-BE32-E72D297353CC}">
              <c16:uniqueId val="{00000000-F6CC-4092-B154-700BE4879831}"/>
            </c:ext>
          </c:extLst>
        </c:ser>
        <c:ser>
          <c:idx val="3"/>
          <c:order val="1"/>
          <c:tx>
            <c:strRef>
              <c:f>Charts!$B$6</c:f>
              <c:strCache>
                <c:ptCount val="1"/>
                <c:pt idx="0">
                  <c:v>S. America</c:v>
                </c:pt>
              </c:strCache>
            </c:strRef>
          </c:tx>
          <c:spPr>
            <a:solidFill>
              <a:schemeClr val="accent4"/>
            </a:solidFill>
            <a:ln>
              <a:noFill/>
            </a:ln>
            <a:effectLst/>
          </c:spPr>
          <c:invertIfNegative val="0"/>
          <c:dPt>
            <c:idx val="0"/>
            <c:invertIfNegative val="0"/>
            <c:bubble3D val="0"/>
            <c:extLst>
              <c:ext xmlns:c16="http://schemas.microsoft.com/office/drawing/2014/chart" uri="{C3380CC4-5D6E-409C-BE32-E72D297353CC}">
                <c16:uniqueId val="{00000002-F6CC-4092-B154-700BE4879831}"/>
              </c:ext>
            </c:extLst>
          </c:dPt>
          <c:dLbls>
            <c:dLbl>
              <c:idx val="0"/>
              <c:layout>
                <c:manualLayout>
                  <c:x val="-3.1006054284948372E-2"/>
                  <c:y val="1.0896961600197017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9021895329572533"/>
                      <c:h val="8.4723222623835789E-2"/>
                    </c:manualLayout>
                  </c15:layout>
                </c:ext>
                <c:ext xmlns:c16="http://schemas.microsoft.com/office/drawing/2014/chart" uri="{C3380CC4-5D6E-409C-BE32-E72D297353CC}">
                  <c16:uniqueId val="{00000002-F6CC-4092-B154-700BE4879831}"/>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Charts!$C$6</c:f>
              <c:numCache>
                <c:formatCode>0%</c:formatCode>
                <c:ptCount val="1"/>
                <c:pt idx="0">
                  <c:v>0.94213321387302662</c:v>
                </c:pt>
              </c:numCache>
            </c:numRef>
          </c:val>
          <c:extLst>
            <c:ext xmlns:c16="http://schemas.microsoft.com/office/drawing/2014/chart" uri="{C3380CC4-5D6E-409C-BE32-E72D297353CC}">
              <c16:uniqueId val="{00000003-F6CC-4092-B154-700BE4879831}"/>
            </c:ext>
          </c:extLst>
        </c:ser>
        <c:ser>
          <c:idx val="0"/>
          <c:order val="2"/>
          <c:tx>
            <c:strRef>
              <c:f>Charts!$B$7</c:f>
              <c:strCache>
                <c:ptCount val="1"/>
                <c:pt idx="0">
                  <c:v>North America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c:f>
              <c:numCache>
                <c:formatCode>0%</c:formatCode>
                <c:ptCount val="1"/>
                <c:pt idx="0">
                  <c:v>0.95377309612258432</c:v>
                </c:pt>
              </c:numCache>
            </c:numRef>
          </c:val>
          <c:extLst>
            <c:ext xmlns:c16="http://schemas.microsoft.com/office/drawing/2014/chart" uri="{C3380CC4-5D6E-409C-BE32-E72D297353CC}">
              <c16:uniqueId val="{00000004-F6CC-4092-B154-700BE4879831}"/>
            </c:ext>
          </c:extLst>
        </c:ser>
        <c:ser>
          <c:idx val="1"/>
          <c:order val="3"/>
          <c:tx>
            <c:strRef>
              <c:f>Charts!$B$8</c:f>
              <c:strCache>
                <c:ptCount val="1"/>
                <c:pt idx="0">
                  <c:v>Europe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Charts!$C$8</c:f>
              <c:numCache>
                <c:formatCode>0%</c:formatCode>
                <c:ptCount val="1"/>
                <c:pt idx="0">
                  <c:v>0.93292847457102335</c:v>
                </c:pt>
              </c:numCache>
            </c:numRef>
          </c:val>
          <c:extLst>
            <c:ext xmlns:c16="http://schemas.microsoft.com/office/drawing/2014/chart" uri="{C3380CC4-5D6E-409C-BE32-E72D297353CC}">
              <c16:uniqueId val="{00000005-F6CC-4092-B154-700BE4879831}"/>
            </c:ext>
          </c:extLst>
        </c:ser>
        <c:dLbls>
          <c:dLblPos val="inBase"/>
          <c:showLegendKey val="0"/>
          <c:showVal val="1"/>
          <c:showCatName val="0"/>
          <c:showSerName val="0"/>
          <c:showPercent val="0"/>
          <c:showBubbleSize val="0"/>
        </c:dLbls>
        <c:gapWidth val="110"/>
        <c:overlap val="-64"/>
        <c:axId val="711597592"/>
        <c:axId val="711603824"/>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711603824"/>
        <c:crosses val="autoZero"/>
        <c:auto val="1"/>
        <c:lblAlgn val="ctr"/>
        <c:lblOffset val="100"/>
        <c:noMultiLvlLbl val="0"/>
      </c:catAx>
      <c:valAx>
        <c:axId val="711603824"/>
        <c:scaling>
          <c:orientation val="minMax"/>
          <c:max val="1.5"/>
          <c:min val="0.5"/>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3"/>
              </a:solidFill>
              <a:ln w="19050">
                <a:noFill/>
              </a:ln>
              <a:effectLst/>
            </c:spPr>
            <c:extLst>
              <c:ext xmlns:c16="http://schemas.microsoft.com/office/drawing/2014/chart" uri="{C3380CC4-5D6E-409C-BE32-E72D297353CC}">
                <c16:uniqueId val="{00000001-E194-40A9-86EB-E42B9CAF4C6C}"/>
              </c:ext>
            </c:extLst>
          </c:dPt>
          <c:dPt>
            <c:idx val="1"/>
            <c:bubble3D val="0"/>
            <c:spPr>
              <a:solidFill>
                <a:schemeClr val="accent2"/>
              </a:solidFill>
              <a:ln w="19050">
                <a:noFill/>
              </a:ln>
              <a:effectLst/>
            </c:spPr>
            <c:extLst>
              <c:ext xmlns:c16="http://schemas.microsoft.com/office/drawing/2014/chart" uri="{C3380CC4-5D6E-409C-BE32-E72D297353CC}">
                <c16:uniqueId val="{00000003-E194-40A9-86EB-E42B9CAF4C6C}"/>
              </c:ext>
            </c:extLst>
          </c:dPt>
          <c:dPt>
            <c:idx val="2"/>
            <c:bubble3D val="0"/>
            <c:spPr>
              <a:solidFill>
                <a:schemeClr val="accent4"/>
              </a:solidFill>
              <a:ln w="19050">
                <a:noFill/>
              </a:ln>
              <a:effectLst/>
            </c:spPr>
            <c:extLst>
              <c:ext xmlns:c16="http://schemas.microsoft.com/office/drawing/2014/chart" uri="{C3380CC4-5D6E-409C-BE32-E72D297353CC}">
                <c16:uniqueId val="{00000005-E194-40A9-86EB-E42B9CAF4C6C}"/>
              </c:ext>
            </c:extLst>
          </c:dPt>
          <c:dPt>
            <c:idx val="3"/>
            <c:bubble3D val="0"/>
            <c:spPr>
              <a:solidFill>
                <a:schemeClr val="accent1"/>
              </a:solidFill>
              <a:ln w="19050">
                <a:noFill/>
              </a:ln>
              <a:effectLst/>
            </c:spPr>
            <c:extLst>
              <c:ext xmlns:c16="http://schemas.microsoft.com/office/drawing/2014/chart" uri="{C3380CC4-5D6E-409C-BE32-E72D297353CC}">
                <c16:uniqueId val="{00000007-E194-40A9-86EB-E42B9CAF4C6C}"/>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194-40A9-86EB-E42B9CAF4C6C}"/>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194-40A9-86EB-E42B9CAF4C6C}"/>
                </c:ext>
              </c:extLst>
            </c:dLbl>
            <c:dLbl>
              <c:idx val="3"/>
              <c:layout>
                <c:manualLayout>
                  <c:x val="4.2969217192216622E-2"/>
                  <c:y val="-5.9237382554697959E-2"/>
                </c:manualLayout>
              </c:layout>
              <c:spPr>
                <a:solidFill>
                  <a:schemeClr val="accent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94-40A9-86EB-E42B9CAF4C6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Charts!$B$28:$B$31</c:f>
              <c:strCache>
                <c:ptCount val="4"/>
                <c:pt idx="0">
                  <c:v>Europe</c:v>
                </c:pt>
                <c:pt idx="1">
                  <c:v>North America</c:v>
                </c:pt>
                <c:pt idx="2">
                  <c:v>South America</c:v>
                </c:pt>
                <c:pt idx="3">
                  <c:v>APAC</c:v>
                </c:pt>
              </c:strCache>
            </c:strRef>
          </c:cat>
          <c:val>
            <c:numRef>
              <c:f>Charts!$C$28:$C$31</c:f>
              <c:numCache>
                <c:formatCode>0%</c:formatCode>
                <c:ptCount val="4"/>
                <c:pt idx="0">
                  <c:v>0.32387077644905132</c:v>
                </c:pt>
                <c:pt idx="1">
                  <c:v>0.53010614312481086</c:v>
                </c:pt>
                <c:pt idx="2">
                  <c:v>8.9540187371284788E-2</c:v>
                </c:pt>
                <c:pt idx="3">
                  <c:v>5.6482893054852996E-2</c:v>
                </c:pt>
              </c:numCache>
            </c:numRef>
          </c:val>
          <c:extLst>
            <c:ext xmlns:c16="http://schemas.microsoft.com/office/drawing/2014/chart" uri="{C3380CC4-5D6E-409C-BE32-E72D297353CC}">
              <c16:uniqueId val="{00000008-E194-40A9-86EB-E42B9CAF4C6C}"/>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3"/>
              </a:solidFill>
              <a:ln w="19050">
                <a:noFill/>
              </a:ln>
              <a:effectLst/>
            </c:spPr>
            <c:extLst>
              <c:ext xmlns:c16="http://schemas.microsoft.com/office/drawing/2014/chart" uri="{C3380CC4-5D6E-409C-BE32-E72D297353CC}">
                <c16:uniqueId val="{00000001-AE62-4014-AC54-C93D2BD099AA}"/>
              </c:ext>
            </c:extLst>
          </c:dPt>
          <c:dPt>
            <c:idx val="1"/>
            <c:bubble3D val="0"/>
            <c:spPr>
              <a:solidFill>
                <a:schemeClr val="accent2"/>
              </a:solidFill>
              <a:ln w="19050">
                <a:noFill/>
              </a:ln>
              <a:effectLst/>
            </c:spPr>
            <c:extLst>
              <c:ext xmlns:c16="http://schemas.microsoft.com/office/drawing/2014/chart" uri="{C3380CC4-5D6E-409C-BE32-E72D297353CC}">
                <c16:uniqueId val="{00000003-AE62-4014-AC54-C93D2BD099AA}"/>
              </c:ext>
            </c:extLst>
          </c:dPt>
          <c:dPt>
            <c:idx val="2"/>
            <c:bubble3D val="0"/>
            <c:spPr>
              <a:solidFill>
                <a:schemeClr val="accent4"/>
              </a:solidFill>
              <a:ln w="19050">
                <a:noFill/>
              </a:ln>
              <a:effectLst/>
            </c:spPr>
            <c:extLst>
              <c:ext xmlns:c16="http://schemas.microsoft.com/office/drawing/2014/chart" uri="{C3380CC4-5D6E-409C-BE32-E72D297353CC}">
                <c16:uniqueId val="{00000005-AE62-4014-AC54-C93D2BD099AA}"/>
              </c:ext>
            </c:extLst>
          </c:dPt>
          <c:dPt>
            <c:idx val="3"/>
            <c:bubble3D val="0"/>
            <c:spPr>
              <a:solidFill>
                <a:schemeClr val="accent5">
                  <a:lumMod val="20000"/>
                  <a:lumOff val="80000"/>
                </a:schemeClr>
              </a:solidFill>
              <a:ln w="19050">
                <a:noFill/>
              </a:ln>
              <a:effectLst/>
            </c:spPr>
            <c:extLst>
              <c:ext xmlns:c16="http://schemas.microsoft.com/office/drawing/2014/chart" uri="{C3380CC4-5D6E-409C-BE32-E72D297353CC}">
                <c16:uniqueId val="{00000007-DBAD-4575-A6C5-344D8B6219CE}"/>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AE62-4014-AC54-C93D2BD099A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E62-4014-AC54-C93D2BD099A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Charts!$B$44:$B$47</c15:sqref>
                  </c15:fullRef>
                </c:ext>
              </c:extLst>
              <c:f>Charts!$B$44:$B$46</c:f>
              <c:strCache>
                <c:ptCount val="3"/>
                <c:pt idx="0">
                  <c:v>Europe</c:v>
                </c:pt>
                <c:pt idx="1">
                  <c:v>North America</c:v>
                </c:pt>
                <c:pt idx="2">
                  <c:v>South America</c:v>
                </c:pt>
              </c:strCache>
            </c:strRef>
          </c:cat>
          <c:val>
            <c:numRef>
              <c:extLst>
                <c:ext xmlns:c15="http://schemas.microsoft.com/office/drawing/2012/chart" uri="{02D57815-91ED-43cb-92C2-25804820EDAC}">
                  <c15:fullRef>
                    <c15:sqref>Charts!$C$44:$C$47</c15:sqref>
                  </c15:fullRef>
                </c:ext>
              </c:extLst>
              <c:f>Charts!$C$44:$C$46</c:f>
              <c:numCache>
                <c:formatCode>0%</c:formatCode>
                <c:ptCount val="3"/>
                <c:pt idx="0">
                  <c:v>0.28434437209825847</c:v>
                </c:pt>
                <c:pt idx="1">
                  <c:v>0.57499001440441977</c:v>
                </c:pt>
                <c:pt idx="2">
                  <c:v>0.10305358157301713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AE62-4014-AC54-C93D2BD099A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9.2618165108543146E-3"/>
          <c:y val="0.84171026611638378"/>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2"/>
              </a:solidFill>
              <a:ln w="19050">
                <a:noFill/>
              </a:ln>
              <a:effectLst/>
            </c:spPr>
            <c:extLst>
              <c:ext xmlns:c16="http://schemas.microsoft.com/office/drawing/2014/chart" uri="{C3380CC4-5D6E-409C-BE32-E72D297353CC}">
                <c16:uniqueId val="{00000001-1DE5-43F2-B090-0D24F1AAEAE7}"/>
              </c:ext>
            </c:extLst>
          </c:dPt>
          <c:dPt>
            <c:idx val="1"/>
            <c:bubble3D val="0"/>
            <c:spPr>
              <a:solidFill>
                <a:schemeClr val="accent1"/>
              </a:solidFill>
              <a:ln w="19050">
                <a:noFill/>
              </a:ln>
              <a:effectLst/>
            </c:spPr>
            <c:extLst>
              <c:ext xmlns:c16="http://schemas.microsoft.com/office/drawing/2014/chart" uri="{C3380CC4-5D6E-409C-BE32-E72D297353CC}">
                <c16:uniqueId val="{00000003-1DE5-43F2-B090-0D24F1AAEAE7}"/>
              </c:ext>
            </c:extLst>
          </c:dPt>
          <c:dPt>
            <c:idx val="2"/>
            <c:bubble3D val="0"/>
            <c:spPr>
              <a:solidFill>
                <a:schemeClr val="accent3"/>
              </a:solidFill>
              <a:ln w="19050">
                <a:noFill/>
              </a:ln>
              <a:effectLst/>
            </c:spPr>
            <c:extLst>
              <c:ext xmlns:c16="http://schemas.microsoft.com/office/drawing/2014/chart" uri="{C3380CC4-5D6E-409C-BE32-E72D297353CC}">
                <c16:uniqueId val="{00000005-1DE5-43F2-B090-0D24F1AAEA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D37-4B48-BB7D-45DB9AF02A5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1DE5-43F2-B090-0D24F1AAEAE7}"/>
                </c:ext>
              </c:extLst>
            </c:dLbl>
            <c:dLbl>
              <c:idx val="2"/>
              <c:layout>
                <c:manualLayout>
                  <c:x val="-3.5259259670565875E-2"/>
                  <c:y val="6.2222248836190812E-2"/>
                </c:manualLayout>
              </c:layout>
              <c:spPr>
                <a:solidFill>
                  <a:schemeClr val="accent3"/>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E5-43F2-B090-0D24F1AAEAE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Charts!$B$61:$B$63</c:f>
              <c:strCache>
                <c:ptCount val="3"/>
                <c:pt idx="0">
                  <c:v>Onshore Wind</c:v>
                </c:pt>
                <c:pt idx="1">
                  <c:v>Solar Utility Scale</c:v>
                </c:pt>
                <c:pt idx="2">
                  <c:v>Solar DG</c:v>
                </c:pt>
              </c:strCache>
            </c:strRef>
          </c:cat>
          <c:val>
            <c:numRef>
              <c:f>Charts!$C$61:$C$63</c:f>
              <c:numCache>
                <c:formatCode>0%</c:formatCode>
                <c:ptCount val="3"/>
                <c:pt idx="0">
                  <c:v>0.64412726464347536</c:v>
                </c:pt>
                <c:pt idx="1">
                  <c:v>0.24243226826321707</c:v>
                </c:pt>
                <c:pt idx="2">
                  <c:v>5.0185518502857955E-2</c:v>
                </c:pt>
              </c:numCache>
            </c:numRef>
          </c:val>
          <c:extLst>
            <c:ext xmlns:c16="http://schemas.microsoft.com/office/drawing/2014/chart" uri="{C3380CC4-5D6E-409C-BE32-E72D297353CC}">
              <c16:uniqueId val="{00000006-1DE5-43F2-B090-0D24F1AAEAE7}"/>
            </c:ext>
          </c:extLst>
        </c:ser>
        <c:dLbls>
          <c:showLegendKey val="0"/>
          <c:showVal val="0"/>
          <c:showCatName val="0"/>
          <c:showSerName val="0"/>
          <c:showPercent val="0"/>
          <c:showBubbleSize val="0"/>
          <c:showLeaderLines val="1"/>
        </c:dLbls>
        <c:firstSliceAng val="98"/>
        <c:holeSize val="75"/>
      </c:doughnutChart>
      <c:spPr>
        <a:noFill/>
        <a:ln>
          <a:noFill/>
        </a:ln>
        <a:effectLst/>
      </c:spPr>
    </c:plotArea>
    <c:legend>
      <c:legendPos val="b"/>
      <c:layout>
        <c:manualLayout>
          <c:xMode val="edge"/>
          <c:yMode val="edge"/>
          <c:x val="7.4860920393959487E-2"/>
          <c:y val="0.88915475452811354"/>
          <c:w val="0.84474893399149975"/>
          <c:h val="8.361545822872021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chemeClr val="tx1"/>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63921660955173"/>
          <c:y val="0.10946602669366899"/>
          <c:w val="0.43448421073059029"/>
          <c:h val="0.82803098050441326"/>
        </c:manualLayout>
      </c:layout>
      <c:doughnutChart>
        <c:varyColors val="1"/>
        <c:ser>
          <c:idx val="0"/>
          <c:order val="0"/>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DA49-4F0F-9161-5E5F5A6C0036}"/>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DA49-4F0F-9161-5E5F5A6C0036}"/>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DA49-4F0F-9161-5E5F5A6C0036}"/>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DA49-4F0F-9161-5E5F5A6C0036}"/>
              </c:ext>
            </c:extLst>
          </c:dPt>
          <c:dPt>
            <c:idx val="4"/>
            <c:bubble3D val="0"/>
            <c:spPr>
              <a:solidFill>
                <a:schemeClr val="accent5">
                  <a:lumMod val="20000"/>
                  <a:lumOff val="80000"/>
                </a:schemeClr>
              </a:solidFill>
              <a:ln w="19050">
                <a:noFill/>
              </a:ln>
              <a:effectLst/>
            </c:spPr>
            <c:extLst>
              <c:ext xmlns:c16="http://schemas.microsoft.com/office/drawing/2014/chart" uri="{C3380CC4-5D6E-409C-BE32-E72D297353CC}">
                <c16:uniqueId val="{00000009-DA49-4F0F-9161-5E5F5A6C0036}"/>
              </c:ext>
            </c:extLst>
          </c:dPt>
          <c:dLbls>
            <c:dLbl>
              <c:idx val="3"/>
              <c:layout>
                <c:manualLayout>
                  <c:x val="3.6195475565554305E-5"/>
                  <c:y val="5.9571182171040617E-4"/>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DA49-4F0F-9161-5E5F5A6C0036}"/>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Charts!$B$44:$B$47</c:f>
              <c:strCache>
                <c:ptCount val="4"/>
                <c:pt idx="0">
                  <c:v>Europe</c:v>
                </c:pt>
                <c:pt idx="1">
                  <c:v>North America</c:v>
                </c:pt>
                <c:pt idx="2">
                  <c:v>South America</c:v>
                </c:pt>
                <c:pt idx="3">
                  <c:v>APAC</c:v>
                </c:pt>
              </c:strCache>
            </c:strRef>
          </c:cat>
          <c:val>
            <c:numRef>
              <c:f>Charts!$C$44:$C$47</c:f>
              <c:numCache>
                <c:formatCode>0%</c:formatCode>
                <c:ptCount val="4"/>
                <c:pt idx="0">
                  <c:v>0.28434437209825847</c:v>
                </c:pt>
                <c:pt idx="1">
                  <c:v>0.57499001440441977</c:v>
                </c:pt>
                <c:pt idx="2">
                  <c:v>0.10305358157301713</c:v>
                </c:pt>
                <c:pt idx="3">
                  <c:v>3.7612031924304831E-2</c:v>
                </c:pt>
              </c:numCache>
            </c:numRef>
          </c:val>
          <c:extLst>
            <c:ext xmlns:c16="http://schemas.microsoft.com/office/drawing/2014/chart" uri="{C3380CC4-5D6E-409C-BE32-E72D297353CC}">
              <c16:uniqueId val="{0000000A-DA49-4F0F-9161-5E5F5A6C0036}"/>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r"/>
      <c:layout>
        <c:manualLayout>
          <c:xMode val="edge"/>
          <c:yMode val="edge"/>
          <c:x val="0.67807211212879859"/>
          <c:y val="0.16546129195866044"/>
          <c:w val="0.24388999099862796"/>
          <c:h val="0.6312109697232721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43570054898424"/>
          <c:y val="3.408017616275686E-2"/>
          <c:w val="0.53461195246333115"/>
          <c:h val="0.9372877509265225"/>
        </c:manualLayout>
      </c:layout>
      <c:barChart>
        <c:barDir val="bar"/>
        <c:grouping val="clustered"/>
        <c:varyColors val="0"/>
        <c:ser>
          <c:idx val="3"/>
          <c:order val="0"/>
          <c:tx>
            <c:strRef>
              <c:f>Charts!$B$75</c:f>
              <c:strCache>
                <c:ptCount val="1"/>
                <c:pt idx="0">
                  <c:v>EDPR</c:v>
                </c:pt>
              </c:strCache>
            </c:strRef>
          </c:tx>
          <c:spPr>
            <a:solidFill>
              <a:schemeClr val="accent1">
                <a:lumMod val="60000"/>
                <a:lumOff val="40000"/>
              </a:schemeClr>
            </a:solidFill>
            <a:ln>
              <a:noFill/>
            </a:ln>
            <a:effectLst/>
          </c:spPr>
          <c:invertIfNegative val="0"/>
          <c:dLbls>
            <c:dLbl>
              <c:idx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7B14-4BA2-A352-3F1011808F0F}"/>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Charts!$C$75</c:f>
              <c:numCache>
                <c:formatCode>0%</c:formatCode>
                <c:ptCount val="1"/>
                <c:pt idx="0">
                  <c:v>0.27716056530796901</c:v>
                </c:pt>
              </c:numCache>
            </c:numRef>
          </c:val>
          <c:extLst>
            <c:ext xmlns:c16="http://schemas.microsoft.com/office/drawing/2014/chart" uri="{C3380CC4-5D6E-409C-BE32-E72D297353CC}">
              <c16:uniqueId val="{00000001-7B14-4BA2-A352-3F1011808F0F}"/>
            </c:ext>
          </c:extLst>
        </c:ser>
        <c:ser>
          <c:idx val="0"/>
          <c:order val="2"/>
          <c:tx>
            <c:strRef>
              <c:f>Charts!$B$71</c:f>
              <c:strCache>
                <c:ptCount val="1"/>
                <c:pt idx="0">
                  <c:v>South America</c:v>
                </c:pt>
              </c:strCache>
            </c:strRef>
          </c:tx>
          <c:spPr>
            <a:solidFill>
              <a:schemeClr val="accent4">
                <a:lumMod val="40000"/>
                <a:lumOff val="60000"/>
              </a:schemeClr>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7B14-4BA2-A352-3F1011808F0F}"/>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Charts!$C$71</c:f>
              <c:numCache>
                <c:formatCode>0%</c:formatCode>
                <c:ptCount val="1"/>
                <c:pt idx="0">
                  <c:v>0.30273242222756419</c:v>
                </c:pt>
              </c:numCache>
            </c:numRef>
          </c:val>
          <c:extLst>
            <c:ext xmlns:c16="http://schemas.microsoft.com/office/drawing/2014/chart" uri="{C3380CC4-5D6E-409C-BE32-E72D297353CC}">
              <c16:uniqueId val="{00000004-7B14-4BA2-A352-3F1011808F0F}"/>
            </c:ext>
          </c:extLst>
        </c:ser>
        <c:ser>
          <c:idx val="1"/>
          <c:order val="3"/>
          <c:tx>
            <c:strRef>
              <c:f>Charts!$B$72</c:f>
              <c:strCache>
                <c:ptCount val="1"/>
                <c:pt idx="0">
                  <c:v>North America</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Charts!$C$72</c:f>
              <c:numCache>
                <c:formatCode>0%</c:formatCode>
                <c:ptCount val="1"/>
                <c:pt idx="0">
                  <c:v>0.30395551415516464</c:v>
                </c:pt>
              </c:numCache>
            </c:numRef>
          </c:val>
          <c:extLst>
            <c:ext xmlns:c16="http://schemas.microsoft.com/office/drawing/2014/chart" uri="{C3380CC4-5D6E-409C-BE32-E72D297353CC}">
              <c16:uniqueId val="{00000005-7B14-4BA2-A352-3F1011808F0F}"/>
            </c:ext>
          </c:extLst>
        </c:ser>
        <c:ser>
          <c:idx val="2"/>
          <c:order val="4"/>
          <c:tx>
            <c:strRef>
              <c:f>Charts!$B$73</c:f>
              <c:strCache>
                <c:ptCount val="1"/>
                <c:pt idx="0">
                  <c:v>Europe</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Charts!$C$73</c:f>
              <c:numCache>
                <c:formatCode>0%</c:formatCode>
                <c:ptCount val="1"/>
                <c:pt idx="0">
                  <c:v>0.23493957216475803</c:v>
                </c:pt>
              </c:numCache>
            </c:numRef>
          </c:val>
          <c:extLst>
            <c:ext xmlns:c16="http://schemas.microsoft.com/office/drawing/2014/chart" uri="{C3380CC4-5D6E-409C-BE32-E72D297353CC}">
              <c16:uniqueId val="{00000006-7B14-4BA2-A352-3F1011808F0F}"/>
            </c:ext>
          </c:extLst>
        </c:ser>
        <c:dLbls>
          <c:dLblPos val="inBase"/>
          <c:showLegendKey val="0"/>
          <c:showVal val="1"/>
          <c:showCatName val="0"/>
          <c:showSerName val="0"/>
          <c:showPercent val="0"/>
          <c:showBubbleSize val="0"/>
        </c:dLbls>
        <c:gapWidth val="110"/>
        <c:overlap val="-64"/>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Charts!$B$74</c15:sqref>
                        </c15:formulaRef>
                      </c:ext>
                    </c:extLst>
                    <c:strCache>
                      <c:ptCount val="1"/>
                      <c:pt idx="0">
                        <c:v>APAC</c:v>
                      </c:pt>
                    </c:strCache>
                  </c:strRef>
                </c:tx>
                <c:spPr>
                  <a:solidFill>
                    <a:schemeClr val="accent6">
                      <a:lumMod val="40000"/>
                      <a:lumOff val="60000"/>
                    </a:schemeClr>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8-7B14-4BA2-A352-3F1011808F0F}"/>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7B14-4BA2-A352-3F1011808F0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Charts!$C$74</c15:sqref>
                        </c15:formulaRef>
                      </c:ext>
                    </c:extLst>
                    <c:numCache>
                      <c:formatCode>0%</c:formatCode>
                      <c:ptCount val="1"/>
                      <c:pt idx="0">
                        <c:v>0.16534071417559884</c:v>
                      </c:pt>
                    </c:numCache>
                  </c:numRef>
                </c:val>
                <c:extLst>
                  <c:ext xmlns:c16="http://schemas.microsoft.com/office/drawing/2014/chart" uri="{C3380CC4-5D6E-409C-BE32-E72D297353CC}">
                    <c16:uniqueId val="{00000009-7B14-4BA2-A352-3F1011808F0F}"/>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11603824"/>
        <c:crosses val="autoZero"/>
        <c:auto val="1"/>
        <c:lblAlgn val="ctr"/>
        <c:lblOffset val="100"/>
        <c:noMultiLvlLbl val="0"/>
      </c:catAx>
      <c:valAx>
        <c:axId val="711603824"/>
        <c:scaling>
          <c:orientation val="minMax"/>
          <c:max val="0.60000000000000009"/>
          <c:min val="0"/>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00800222670656"/>
          <c:y val="6.9523008451185073E-2"/>
          <c:w val="0.534029548775944"/>
          <c:h val="0.76161848660599363"/>
        </c:manualLayout>
      </c:layout>
      <c:doughnutChart>
        <c:varyColors val="1"/>
        <c:ser>
          <c:idx val="0"/>
          <c:order val="0"/>
          <c:spPr>
            <a:ln>
              <a:noFill/>
            </a:ln>
          </c:spPr>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8886-40D5-BBBE-770C5B25BAF2}"/>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8886-40D5-BBBE-770C5B25BAF2}"/>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8886-40D5-BBBE-770C5B25BAF2}"/>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8886-40D5-BBBE-770C5B25BAF2}"/>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Charts!$B$28:$B$31</c:f>
              <c:strCache>
                <c:ptCount val="4"/>
                <c:pt idx="0">
                  <c:v>Europe</c:v>
                </c:pt>
                <c:pt idx="1">
                  <c:v>North America</c:v>
                </c:pt>
                <c:pt idx="2">
                  <c:v>South America</c:v>
                </c:pt>
                <c:pt idx="3">
                  <c:v>APAC</c:v>
                </c:pt>
              </c:strCache>
            </c:strRef>
          </c:cat>
          <c:val>
            <c:numRef>
              <c:f>Charts!$C$44:$C$47</c:f>
              <c:numCache>
                <c:formatCode>0%</c:formatCode>
                <c:ptCount val="4"/>
                <c:pt idx="0">
                  <c:v>0.28434437209825847</c:v>
                </c:pt>
                <c:pt idx="1">
                  <c:v>0.57499001440441977</c:v>
                </c:pt>
                <c:pt idx="2">
                  <c:v>0.10305358157301713</c:v>
                </c:pt>
                <c:pt idx="3">
                  <c:v>3.7612031924304831E-2</c:v>
                </c:pt>
              </c:numCache>
            </c:numRef>
          </c:val>
          <c:extLst>
            <c:ext xmlns:c16="http://schemas.microsoft.com/office/drawing/2014/chart" uri="{C3380CC4-5D6E-409C-BE32-E72D297353CC}">
              <c16:uniqueId val="{00000008-8886-40D5-BBBE-770C5B25BAF2}"/>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82044103842783"/>
          <c:y val="3.466689102636266E-2"/>
          <c:w val="0.73878856260924974"/>
          <c:h val="0.9372877509265225"/>
        </c:manualLayout>
      </c:layout>
      <c:barChart>
        <c:barDir val="bar"/>
        <c:grouping val="clustered"/>
        <c:varyColors val="0"/>
        <c:ser>
          <c:idx val="2"/>
          <c:order val="0"/>
          <c:tx>
            <c:strRef>
              <c:f>Charts!$B$9</c:f>
              <c:strCache>
                <c:ptCount val="1"/>
                <c:pt idx="0">
                  <c:v>EDPR</c:v>
                </c:pt>
              </c:strCache>
            </c:strRef>
          </c:tx>
          <c:spPr>
            <a:solidFill>
              <a:schemeClr val="accent1">
                <a:lumMod val="60000"/>
                <a:lumOff val="40000"/>
              </a:schemeClr>
            </a:solidFill>
            <a:ln>
              <a:noFill/>
            </a:ln>
            <a:effectLst/>
          </c:spPr>
          <c:invertIfNegative val="0"/>
          <c:dLbls>
            <c:dLbl>
              <c:idx val="0"/>
              <c:layout>
                <c:manualLayout>
                  <c:x val="-2.467794792175741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294353510632407"/>
                      <c:h val="8.7649060093057576E-2"/>
                    </c:manualLayout>
                  </c15:layout>
                </c:ext>
                <c:ext xmlns:c16="http://schemas.microsoft.com/office/drawing/2014/chart" uri="{C3380CC4-5D6E-409C-BE32-E72D297353CC}">
                  <c16:uniqueId val="{00000000-9D88-4432-955D-B42D109008AB}"/>
                </c:ext>
              </c:extLst>
            </c:dLbl>
            <c:spPr>
              <a:noFill/>
              <a:ln>
                <a:noFill/>
              </a:ln>
              <a:effectLst/>
            </c:spPr>
            <c:txPr>
              <a:bodyPr rot="0" vert="horz"/>
              <a:lstStyle/>
              <a:p>
                <a:pPr>
                  <a:defRPr sz="1100" b="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Charts!$C$9</c:f>
              <c:numCache>
                <c:formatCode>0%</c:formatCode>
                <c:ptCount val="1"/>
                <c:pt idx="0">
                  <c:v>0.94718714126695358</c:v>
                </c:pt>
              </c:numCache>
            </c:numRef>
          </c:val>
          <c:extLst>
            <c:ext xmlns:c16="http://schemas.microsoft.com/office/drawing/2014/chart" uri="{C3380CC4-5D6E-409C-BE32-E72D297353CC}">
              <c16:uniqueId val="{00000001-9D88-4432-955D-B42D109008AB}"/>
            </c:ext>
          </c:extLst>
        </c:ser>
        <c:ser>
          <c:idx val="3"/>
          <c:order val="2"/>
          <c:tx>
            <c:strRef>
              <c:f>Charts!$B$6</c:f>
              <c:strCache>
                <c:ptCount val="1"/>
                <c:pt idx="0">
                  <c:v>S. America</c:v>
                </c:pt>
              </c:strCache>
            </c:strRef>
          </c:tx>
          <c:spPr>
            <a:solidFill>
              <a:schemeClr val="accent4">
                <a:lumMod val="40000"/>
                <a:lumOff val="60000"/>
              </a:schemeClr>
            </a:solidFill>
            <a:ln>
              <a:noFill/>
            </a:ln>
            <a:effectLst/>
          </c:spPr>
          <c:invertIfNegative val="0"/>
          <c:dPt>
            <c:idx val="0"/>
            <c:invertIfNegative val="0"/>
            <c:bubble3D val="0"/>
            <c:extLst>
              <c:ext xmlns:c16="http://schemas.microsoft.com/office/drawing/2014/chart" uri="{C3380CC4-5D6E-409C-BE32-E72D297353CC}">
                <c16:uniqueId val="{00000002-9D88-4432-955D-B42D109008AB}"/>
              </c:ext>
            </c:extLst>
          </c:dPt>
          <c:dLbls>
            <c:dLbl>
              <c:idx val="0"/>
              <c:layout>
                <c:manualLayout>
                  <c:x val="-2.265522791139723E-3"/>
                  <c:y val="2.330251652111927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4723289606937813E-2"/>
                    </c:manualLayout>
                  </c15:layout>
                </c:ext>
                <c:ext xmlns:c16="http://schemas.microsoft.com/office/drawing/2014/chart" uri="{C3380CC4-5D6E-409C-BE32-E72D297353CC}">
                  <c16:uniqueId val="{00000002-9D88-4432-955D-B42D109008AB}"/>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Charts!$C$6</c:f>
              <c:numCache>
                <c:formatCode>0%</c:formatCode>
                <c:ptCount val="1"/>
                <c:pt idx="0">
                  <c:v>0.94213321387302662</c:v>
                </c:pt>
              </c:numCache>
            </c:numRef>
          </c:val>
          <c:extLst>
            <c:ext xmlns:c16="http://schemas.microsoft.com/office/drawing/2014/chart" uri="{C3380CC4-5D6E-409C-BE32-E72D297353CC}">
              <c16:uniqueId val="{00000003-9D88-4432-955D-B42D109008AB}"/>
            </c:ext>
          </c:extLst>
        </c:ser>
        <c:ser>
          <c:idx val="0"/>
          <c:order val="3"/>
          <c:tx>
            <c:strRef>
              <c:f>Charts!$B$7</c:f>
              <c:strCache>
                <c:ptCount val="1"/>
                <c:pt idx="0">
                  <c:v>North America</c:v>
                </c:pt>
              </c:strCache>
            </c:strRef>
          </c:tx>
          <c:spPr>
            <a:solidFill>
              <a:schemeClr val="accent3">
                <a:lumMod val="40000"/>
                <a:lumOff val="60000"/>
              </a:schemeClr>
            </a:solidFill>
            <a:ln>
              <a:noFill/>
            </a:ln>
            <a:effectLst/>
          </c:spPr>
          <c:invertIfNegative val="0"/>
          <c:dLbls>
            <c:dLbl>
              <c:idx val="0"/>
              <c:spPr>
                <a:noFill/>
                <a:ln>
                  <a:noFill/>
                </a:ln>
                <a:effectLst/>
              </c:spPr>
              <c:txPr>
                <a:bodyPr rot="0" vert="horz" lIns="0" tIns="0" rIns="0" b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35211523757189"/>
                      <c:h val="3.9064338714195103E-2"/>
                    </c:manualLayout>
                  </c15:layout>
                </c:ext>
                <c:ext xmlns:c16="http://schemas.microsoft.com/office/drawing/2014/chart" uri="{C3380CC4-5D6E-409C-BE32-E72D297353CC}">
                  <c16:uniqueId val="{00000004-9D88-4432-955D-B42D109008AB}"/>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Charts!$C$7</c:f>
              <c:numCache>
                <c:formatCode>0%</c:formatCode>
                <c:ptCount val="1"/>
                <c:pt idx="0">
                  <c:v>0.95377309612258432</c:v>
                </c:pt>
              </c:numCache>
            </c:numRef>
          </c:val>
          <c:extLst>
            <c:ext xmlns:c16="http://schemas.microsoft.com/office/drawing/2014/chart" uri="{C3380CC4-5D6E-409C-BE32-E72D297353CC}">
              <c16:uniqueId val="{00000005-9D88-4432-955D-B42D109008AB}"/>
            </c:ext>
          </c:extLst>
        </c:ser>
        <c:ser>
          <c:idx val="1"/>
          <c:order val="4"/>
          <c:tx>
            <c:strRef>
              <c:f>Charts!$B$8</c:f>
              <c:strCache>
                <c:ptCount val="1"/>
                <c:pt idx="0">
                  <c:v>Europe</c:v>
                </c:pt>
              </c:strCache>
            </c:strRef>
          </c:tx>
          <c:spPr>
            <a:solidFill>
              <a:schemeClr val="accent5">
                <a:lumMod val="40000"/>
                <a:lumOff val="60000"/>
              </a:schemeClr>
            </a:solidFill>
            <a:ln>
              <a:noFill/>
            </a:ln>
            <a:effectLst/>
          </c:spPr>
          <c:invertIfNegative val="0"/>
          <c:dLbls>
            <c:dLbl>
              <c:idx val="0"/>
              <c:spPr>
                <a:noFill/>
                <a:ln>
                  <a:noFill/>
                </a:ln>
                <a:effectLst/>
              </c:spPr>
              <c:txPr>
                <a:bodyPr rot="0" vertOverflow="clip" horzOverflow="clip" vert="horz" lIns="0" r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7006936227070911E-2"/>
                    </c:manualLayout>
                  </c15:layout>
                </c:ext>
                <c:ext xmlns:c16="http://schemas.microsoft.com/office/drawing/2014/chart" uri="{C3380CC4-5D6E-409C-BE32-E72D297353CC}">
                  <c16:uniqueId val="{00000006-9D88-4432-955D-B42D109008AB}"/>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Charts!$C$8</c:f>
              <c:numCache>
                <c:formatCode>0%</c:formatCode>
                <c:ptCount val="1"/>
                <c:pt idx="0">
                  <c:v>0.93292847457102335</c:v>
                </c:pt>
              </c:numCache>
            </c:numRef>
          </c:val>
          <c:extLst>
            <c:ext xmlns:c16="http://schemas.microsoft.com/office/drawing/2014/chart" uri="{C3380CC4-5D6E-409C-BE32-E72D297353CC}">
              <c16:uniqueId val="{00000007-9D88-4432-955D-B42D109008AB}"/>
            </c:ext>
          </c:extLst>
        </c:ser>
        <c:dLbls>
          <c:dLblPos val="inBase"/>
          <c:showLegendKey val="0"/>
          <c:showVal val="1"/>
          <c:showCatName val="0"/>
          <c:showSerName val="0"/>
          <c:showPercent val="0"/>
          <c:showBubbleSize val="0"/>
        </c:dLbls>
        <c:gapWidth val="110"/>
        <c:overlap val="-64"/>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Charts!$B$5</c15:sqref>
                        </c15:formulaRef>
                      </c:ext>
                    </c:extLst>
                    <c:strCache>
                      <c:ptCount val="1"/>
                      <c:pt idx="0">
                        <c:v>APAC</c:v>
                      </c:pt>
                    </c:strCache>
                  </c:strRef>
                </c:tx>
                <c:spPr>
                  <a:solidFill>
                    <a:schemeClr val="accent6">
                      <a:lumMod val="40000"/>
                      <a:lumOff val="60000"/>
                    </a:schemeClr>
                  </a:solidFill>
                  <a:ln>
                    <a:noFill/>
                  </a:ln>
                  <a:effectLst/>
                </c:spPr>
                <c:invertIfNegative val="0"/>
                <c:dLbls>
                  <c:dLbl>
                    <c:idx val="0"/>
                    <c:layout>
                      <c:manualLayout>
                        <c:x val="4.6803542336580767E-2"/>
                        <c:y val="-1.1182568806798261E-16"/>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9D88-4432-955D-B42D109008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0"/>
                    </c:ext>
                  </c:extLst>
                </c:dLbls>
                <c:val>
                  <c:numRef>
                    <c:extLst>
                      <c:ext uri="{02D57815-91ED-43cb-92C2-25804820EDAC}">
                        <c15:formulaRef>
                          <c15:sqref>Charts!$C$5</c15:sqref>
                        </c15:formulaRef>
                      </c:ext>
                    </c:extLst>
                    <c:numCache>
                      <c:formatCode>0%</c:formatCode>
                      <c:ptCount val="1"/>
                      <c:pt idx="0">
                        <c:v>0</c:v>
                      </c:pt>
                    </c:numCache>
                  </c:numRef>
                </c:val>
                <c:extLst>
                  <c:ext xmlns:c16="http://schemas.microsoft.com/office/drawing/2014/chart" uri="{C3380CC4-5D6E-409C-BE32-E72D297353CC}">
                    <c16:uniqueId val="{00000009-9D88-4432-955D-B42D109008AB}"/>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vert="horz"/>
          <a:lstStyle/>
          <a:p>
            <a:pPr>
              <a:defRPr/>
            </a:pPr>
            <a:endParaRPr lang="en-US"/>
          </a:p>
        </c:txPr>
        <c:crossAx val="711603824"/>
        <c:crosses val="autoZero"/>
        <c:auto val="1"/>
        <c:lblAlgn val="ctr"/>
        <c:lblOffset val="100"/>
        <c:noMultiLvlLbl val="0"/>
      </c:catAx>
      <c:valAx>
        <c:axId val="711603824"/>
        <c:scaling>
          <c:orientation val="minMax"/>
          <c:max val="1.5"/>
          <c:min val="0.5"/>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565E-4DC0-AD71-94D550CA7693}"/>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565E-4DC0-AD71-94D550CA7693}"/>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565E-4DC0-AD71-94D550CA7693}"/>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565E-4DC0-AD71-94D550CA7693}"/>
              </c:ext>
            </c:extLst>
          </c:dPt>
          <c:dLbls>
            <c:dLbl>
              <c:idx val="3"/>
              <c:layout>
                <c:manualLayout>
                  <c:x val="2.0053129694170388E-3"/>
                  <c:y val="6.788419637561296E-4"/>
                </c:manualLayout>
              </c:layout>
              <c:tx>
                <c:rich>
                  <a:bodyPr/>
                  <a:lstStyle/>
                  <a:p>
                    <a:fld id="{E0DF72C9-D51B-4209-AE81-958D0CC2158E}" type="CELLREF">
                      <a:rPr lang="en-US" sz="1100">
                        <a:solidFill>
                          <a:sysClr val="windowText" lastClr="000000"/>
                        </a:solidFill>
                      </a:rPr>
                      <a:pPr/>
                      <a:t>[CELLREF]</a:t>
                    </a:fld>
                    <a:endParaRPr lang="es-ES"/>
                  </a:p>
                </c:rich>
              </c:tx>
              <c:showLegendKey val="0"/>
              <c:showVal val="1"/>
              <c:showCatName val="0"/>
              <c:showSerName val="0"/>
              <c:showPercent val="0"/>
              <c:showBubbleSize val="0"/>
              <c:extLst>
                <c:ext xmlns:c15="http://schemas.microsoft.com/office/drawing/2012/chart" uri="{CE6537A1-D6FC-4f65-9D91-7224C49458BB}">
                  <c15:dlblFieldTable>
                    <c15:dlblFTEntry>
                      <c15:txfldGUID>{E0DF72C9-D51B-4209-AE81-958D0CC2158E}</c15:txfldGUID>
                      <c15:f>Charts!$C$31</c15:f>
                      <c15:dlblFieldTableCache>
                        <c:ptCount val="1"/>
                        <c:pt idx="0">
                          <c:v>6%</c:v>
                        </c:pt>
                      </c15:dlblFieldTableCache>
                    </c15:dlblFTEntry>
                  </c15:dlblFieldTable>
                  <c15:showDataLabelsRange val="0"/>
                </c:ext>
                <c:ext xmlns:c16="http://schemas.microsoft.com/office/drawing/2014/chart" uri="{C3380CC4-5D6E-409C-BE32-E72D297353CC}">
                  <c16:uniqueId val="{00000007-565E-4DC0-AD71-94D550CA7693}"/>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Charts!$B$28:$B$31</c:f>
              <c:strCache>
                <c:ptCount val="4"/>
                <c:pt idx="0">
                  <c:v>Europe</c:v>
                </c:pt>
                <c:pt idx="1">
                  <c:v>North America</c:v>
                </c:pt>
                <c:pt idx="2">
                  <c:v>South America</c:v>
                </c:pt>
                <c:pt idx="3">
                  <c:v>APAC</c:v>
                </c:pt>
              </c:strCache>
            </c:strRef>
          </c:cat>
          <c:val>
            <c:numRef>
              <c:f>Charts!$C$28:$C$31</c:f>
              <c:numCache>
                <c:formatCode>0%</c:formatCode>
                <c:ptCount val="4"/>
                <c:pt idx="0">
                  <c:v>0.32387077644905132</c:v>
                </c:pt>
                <c:pt idx="1">
                  <c:v>0.53010614312481086</c:v>
                </c:pt>
                <c:pt idx="2">
                  <c:v>8.9540187371284788E-2</c:v>
                </c:pt>
                <c:pt idx="3">
                  <c:v>5.6482893054852996E-2</c:v>
                </c:pt>
              </c:numCache>
            </c:numRef>
          </c:val>
          <c:extLst>
            <c:ext xmlns:c16="http://schemas.microsoft.com/office/drawing/2014/chart" uri="{C3380CC4-5D6E-409C-BE32-E72D297353CC}">
              <c16:uniqueId val="{00000008-565E-4DC0-AD71-94D550CA7693}"/>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629661573584"/>
          <c:y val="0.11505183323380479"/>
          <c:w val="0.52674067685283199"/>
          <c:h val="0.67570586863869508"/>
        </c:manualLayout>
      </c:layout>
      <c:doughnutChart>
        <c:varyColors val="1"/>
        <c:ser>
          <c:idx val="0"/>
          <c:order val="0"/>
          <c:spPr>
            <a:ln>
              <a:noFill/>
            </a:ln>
          </c:spPr>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3312-457E-808A-BA4C141AA8BE}"/>
              </c:ext>
            </c:extLst>
          </c:dPt>
          <c:dPt>
            <c:idx val="1"/>
            <c:bubble3D val="0"/>
            <c:spPr>
              <a:solidFill>
                <a:schemeClr val="accent4">
                  <a:lumMod val="40000"/>
                  <a:lumOff val="60000"/>
                </a:schemeClr>
              </a:solidFill>
              <a:ln w="19050">
                <a:noFill/>
              </a:ln>
              <a:effectLst/>
            </c:spPr>
            <c:extLst>
              <c:ext xmlns:c16="http://schemas.microsoft.com/office/drawing/2014/chart" uri="{C3380CC4-5D6E-409C-BE32-E72D297353CC}">
                <c16:uniqueId val="{00000003-3312-457E-808A-BA4C141AA8BE}"/>
              </c:ext>
            </c:extLst>
          </c:dPt>
          <c:dPt>
            <c:idx val="2"/>
            <c:bubble3D val="0"/>
            <c:spPr>
              <a:solidFill>
                <a:schemeClr val="accent3">
                  <a:lumMod val="40000"/>
                  <a:lumOff val="60000"/>
                </a:schemeClr>
              </a:solidFill>
              <a:ln w="19050">
                <a:noFill/>
              </a:ln>
              <a:effectLst/>
            </c:spPr>
            <c:extLst>
              <c:ext xmlns:c16="http://schemas.microsoft.com/office/drawing/2014/chart" uri="{C3380CC4-5D6E-409C-BE32-E72D297353CC}">
                <c16:uniqueId val="{00000005-3312-457E-808A-BA4C141AA8BE}"/>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3312-457E-808A-BA4C141AA8BE}"/>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3312-457E-808A-BA4C141AA8BE}"/>
              </c:ext>
            </c:extLst>
          </c:dPt>
          <c:dLbls>
            <c:dLbl>
              <c:idx val="2"/>
              <c:layout>
                <c:manualLayout>
                  <c:x val="2.4392160075577965E-3"/>
                  <c:y val="-7.5742765874209925E-4"/>
                </c:manualLayout>
              </c:layout>
              <c:tx>
                <c:rich>
                  <a:bodyPr/>
                  <a:lstStyle/>
                  <a:p>
                    <a:fld id="{71479098-D2D8-4AF5-B359-0F0920F4AE0A}" type="VALUE">
                      <a:rPr lang="en-US">
                        <a:solidFill>
                          <a:sysClr val="windowText" lastClr="000000"/>
                        </a:solidFill>
                      </a:rPr>
                      <a:pPr/>
                      <a:t>[VALUE]</a:t>
                    </a:fld>
                    <a:endParaRPr lang="es-E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312-457E-808A-BA4C141AA8BE}"/>
                </c:ext>
              </c:extLst>
            </c:dLbl>
            <c:dLbl>
              <c:idx val="4"/>
              <c:layout>
                <c:manualLayout>
                  <c:x val="-9.2797296340676547E-17"/>
                  <c:y val="4.5452500347668109E-2"/>
                </c:manualLayout>
              </c:layout>
              <c:spPr>
                <a:solidFill>
                  <a:schemeClr val="bg1">
                    <a:lumMod val="85000"/>
                  </a:schemeClr>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12-457E-808A-BA4C141AA8BE}"/>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Charts!$B$61:$B$65</c:f>
              <c:strCache>
                <c:ptCount val="5"/>
                <c:pt idx="0">
                  <c:v>Onshore Wind</c:v>
                </c:pt>
                <c:pt idx="1">
                  <c:v>Solar Utility Scale</c:v>
                </c:pt>
                <c:pt idx="2">
                  <c:v>Solar DG</c:v>
                </c:pt>
                <c:pt idx="3">
                  <c:v>Offshore Wind</c:v>
                </c:pt>
                <c:pt idx="4">
                  <c:v>BESS</c:v>
                </c:pt>
              </c:strCache>
            </c:strRef>
          </c:cat>
          <c:val>
            <c:numRef>
              <c:f>Charts!$C$61:$C$65</c:f>
              <c:numCache>
                <c:formatCode>0%</c:formatCode>
                <c:ptCount val="5"/>
                <c:pt idx="0">
                  <c:v>0.64412726464347536</c:v>
                </c:pt>
                <c:pt idx="1">
                  <c:v>0.24243226826321707</c:v>
                </c:pt>
                <c:pt idx="2">
                  <c:v>5.0185518502857955E-2</c:v>
                </c:pt>
                <c:pt idx="3">
                  <c:v>3.6279506828467763E-2</c:v>
                </c:pt>
                <c:pt idx="4" formatCode="0.0%">
                  <c:v>2.6975436857846476E-2</c:v>
                </c:pt>
              </c:numCache>
            </c:numRef>
          </c:val>
          <c:extLst>
            <c:ext xmlns:c16="http://schemas.microsoft.com/office/drawing/2014/chart" uri="{C3380CC4-5D6E-409C-BE32-E72D297353CC}">
              <c16:uniqueId val="{0000000A-3312-457E-808A-BA4C141AA8BE}"/>
            </c:ext>
          </c:extLst>
        </c:ser>
        <c:dLbls>
          <c:showLegendKey val="0"/>
          <c:showVal val="0"/>
          <c:showCatName val="0"/>
          <c:showSerName val="0"/>
          <c:showPercent val="0"/>
          <c:showBubbleSize val="0"/>
          <c:showLeaderLines val="0"/>
        </c:dLbls>
        <c:firstSliceAng val="98"/>
        <c:holeSize val="75"/>
      </c:doughnutChart>
      <c:spPr>
        <a:noFill/>
        <a:ln>
          <a:noFill/>
        </a:ln>
        <a:effectLst/>
      </c:spPr>
    </c:plotArea>
    <c:legend>
      <c:legendPos val="b"/>
      <c:layout>
        <c:manualLayout>
          <c:xMode val="edge"/>
          <c:yMode val="edge"/>
          <c:x val="0"/>
          <c:y val="0.84625574171916651"/>
          <c:w val="0.99411601714342668"/>
          <c:h val="0.1265142574441626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80072147012615E-2"/>
          <c:y val="8.6012832652225604E-3"/>
          <c:w val="0.86218390904751807"/>
          <c:h val="0.52543718998273048"/>
        </c:manualLayout>
      </c:layout>
      <c:barChart>
        <c:barDir val="bar"/>
        <c:grouping val="percentStacked"/>
        <c:varyColors val="0"/>
        <c:ser>
          <c:idx val="0"/>
          <c:order val="0"/>
          <c:tx>
            <c:strRef>
              <c:f>Charts!$H$44</c:f>
              <c:strCache>
                <c:ptCount val="1"/>
                <c:pt idx="0">
                  <c:v>Onshore Wind</c:v>
                </c:pt>
              </c:strCache>
            </c:strRef>
          </c:tx>
          <c:spPr>
            <a:solidFill>
              <a:schemeClr val="accent5">
                <a:lumMod val="40000"/>
                <a:lumOff val="60000"/>
              </a:schemeClr>
            </a:solidFill>
            <a:ln w="19050">
              <a:noFill/>
            </a:ln>
            <a:effectLst/>
          </c:spPr>
          <c:invertIfNegative val="0"/>
          <c:dPt>
            <c:idx val="4"/>
            <c:invertIfNegative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C77B-4A7F-93AA-1DC66B77287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accent5">
                          <a:lumMod val="20000"/>
                          <a:lumOff val="80000"/>
                        </a:schemeClr>
                      </a:solidFill>
                      <a:round/>
                    </a:ln>
                    <a:effectLst/>
                  </c:spPr>
                </c15:leaderLines>
              </c:ext>
            </c:extLst>
          </c:dLbls>
          <c:val>
            <c:numRef>
              <c:f>Charts!$I$44</c:f>
              <c:numCache>
                <c:formatCode>0%</c:formatCode>
                <c:ptCount val="1"/>
                <c:pt idx="0">
                  <c:v>0.75871508514218255</c:v>
                </c:pt>
              </c:numCache>
            </c:numRef>
          </c:val>
          <c:extLst>
            <c:ext xmlns:c16="http://schemas.microsoft.com/office/drawing/2014/chart" uri="{C3380CC4-5D6E-409C-BE32-E72D297353CC}">
              <c16:uniqueId val="{00000002-C77B-4A7F-93AA-1DC66B772872}"/>
            </c:ext>
          </c:extLst>
        </c:ser>
        <c:ser>
          <c:idx val="1"/>
          <c:order val="1"/>
          <c:tx>
            <c:strRef>
              <c:f>Charts!$H$45</c:f>
              <c:strCache>
                <c:ptCount val="1"/>
                <c:pt idx="0">
                  <c:v>Solar Utility Scale</c:v>
                </c:pt>
              </c:strCache>
            </c:strRef>
          </c:tx>
          <c:spPr>
            <a:solidFill>
              <a:schemeClr val="accent4">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Charts!$I$45</c:f>
              <c:numCache>
                <c:formatCode>0%</c:formatCode>
                <c:ptCount val="1"/>
                <c:pt idx="0">
                  <c:v>0.21337398845622238</c:v>
                </c:pt>
              </c:numCache>
            </c:numRef>
          </c:val>
          <c:extLst>
            <c:ext xmlns:c16="http://schemas.microsoft.com/office/drawing/2014/chart" uri="{C3380CC4-5D6E-409C-BE32-E72D297353CC}">
              <c16:uniqueId val="{00000003-C77B-4A7F-93AA-1DC66B772872}"/>
            </c:ext>
          </c:extLst>
        </c:ser>
        <c:ser>
          <c:idx val="2"/>
          <c:order val="2"/>
          <c:tx>
            <c:strRef>
              <c:f>Charts!$H$46</c:f>
              <c:strCache>
                <c:ptCount val="1"/>
                <c:pt idx="0">
                  <c:v>Solar DG</c:v>
                </c:pt>
              </c:strCache>
            </c:strRef>
          </c:tx>
          <c:spPr>
            <a:solidFill>
              <a:schemeClr val="accent3">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Charts!$I$46</c:f>
              <c:numCache>
                <c:formatCode>0%</c:formatCode>
                <c:ptCount val="1"/>
                <c:pt idx="0">
                  <c:v>2.7910926401595038E-2</c:v>
                </c:pt>
              </c:numCache>
            </c:numRef>
          </c:val>
          <c:extLst>
            <c:ext xmlns:c16="http://schemas.microsoft.com/office/drawing/2014/chart" uri="{C3380CC4-5D6E-409C-BE32-E72D297353CC}">
              <c16:uniqueId val="{00000004-C77B-4A7F-93AA-1DC66B772872}"/>
            </c:ext>
          </c:extLst>
        </c:ser>
        <c:dLbls>
          <c:dLblPos val="ctr"/>
          <c:showLegendKey val="0"/>
          <c:showVal val="1"/>
          <c:showCatName val="0"/>
          <c:showSerName val="0"/>
          <c:showPercent val="0"/>
          <c:showBubbleSize val="0"/>
        </c:dLbls>
        <c:gapWidth val="100"/>
        <c:overlap val="100"/>
        <c:axId val="867497184"/>
        <c:axId val="1538520912"/>
      </c:barChart>
      <c:valAx>
        <c:axId val="1538520912"/>
        <c:scaling>
          <c:orientation val="minMax"/>
          <c:min val="0.60000000000000009"/>
        </c:scaling>
        <c:delete val="1"/>
        <c:axPos val="b"/>
        <c:numFmt formatCode="0%" sourceLinked="1"/>
        <c:majorTickMark val="out"/>
        <c:minorTickMark val="none"/>
        <c:tickLblPos val="nextTo"/>
        <c:crossAx val="867497184"/>
        <c:crosses val="autoZero"/>
        <c:crossBetween val="between"/>
      </c:valAx>
      <c:catAx>
        <c:axId val="867497184"/>
        <c:scaling>
          <c:orientation val="minMax"/>
        </c:scaling>
        <c:delete val="1"/>
        <c:axPos val="l"/>
        <c:majorTickMark val="out"/>
        <c:minorTickMark val="none"/>
        <c:tickLblPos val="nextTo"/>
        <c:crossAx val="1538520912"/>
        <c:crosses val="autoZero"/>
        <c:auto val="1"/>
        <c:lblAlgn val="ctr"/>
        <c:lblOffset val="100"/>
        <c:noMultiLvlLbl val="0"/>
      </c:catAx>
      <c:spPr>
        <a:noFill/>
        <a:ln>
          <a:noFill/>
        </a:ln>
        <a:effectLst/>
      </c:spPr>
    </c:plotArea>
    <c:legend>
      <c:legendPos val="b"/>
      <c:layout>
        <c:manualLayout>
          <c:xMode val="edge"/>
          <c:yMode val="edge"/>
          <c:x val="0.11984420427712121"/>
          <c:y val="0.56005146474197476"/>
          <c:w val="0.76031159144575755"/>
          <c:h val="0.227012282883119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43570054898424"/>
          <c:y val="3.408017616275686E-2"/>
          <c:w val="0.53461195246333115"/>
          <c:h val="0.9372877509265225"/>
        </c:manualLayout>
      </c:layout>
      <c:barChart>
        <c:barDir val="bar"/>
        <c:grouping val="clustered"/>
        <c:varyColors val="0"/>
        <c:ser>
          <c:idx val="3"/>
          <c:order val="0"/>
          <c:tx>
            <c:strRef>
              <c:f>Charts!$B$75</c:f>
              <c:strCache>
                <c:ptCount val="1"/>
                <c:pt idx="0">
                  <c:v>EDPR</c:v>
                </c:pt>
              </c:strCache>
            </c:strRef>
          </c:tx>
          <c:spPr>
            <a:solidFill>
              <a:schemeClr val="accent1">
                <a:lumMod val="60000"/>
                <a:lumOff val="40000"/>
              </a:schemeClr>
            </a:solidFill>
            <a:ln>
              <a:noFill/>
            </a:ln>
            <a:effectLst/>
          </c:spPr>
          <c:invertIfNegative val="0"/>
          <c:dLbls>
            <c:dLbl>
              <c:idx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7328-4E00-857A-830CE5EBD30A}"/>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Charts!$C$75</c:f>
              <c:numCache>
                <c:formatCode>0%</c:formatCode>
                <c:ptCount val="1"/>
                <c:pt idx="0">
                  <c:v>0.27716056530796901</c:v>
                </c:pt>
              </c:numCache>
            </c:numRef>
          </c:val>
          <c:extLst>
            <c:ext xmlns:c16="http://schemas.microsoft.com/office/drawing/2014/chart" uri="{C3380CC4-5D6E-409C-BE32-E72D297353CC}">
              <c16:uniqueId val="{00000000-996E-4EB7-AE8D-1A5DF4CFA246}"/>
            </c:ext>
          </c:extLst>
        </c:ser>
        <c:ser>
          <c:idx val="0"/>
          <c:order val="2"/>
          <c:tx>
            <c:strRef>
              <c:f>Charts!$B$71</c:f>
              <c:strCache>
                <c:ptCount val="1"/>
                <c:pt idx="0">
                  <c:v>South America</c:v>
                </c:pt>
              </c:strCache>
            </c:strRef>
          </c:tx>
          <c:spPr>
            <a:solidFill>
              <a:schemeClr val="accent4">
                <a:lumMod val="40000"/>
                <a:lumOff val="60000"/>
              </a:schemeClr>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2-5A7E-4A0D-BCE3-22136CC8C096}"/>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Charts!$C$71</c:f>
              <c:numCache>
                <c:formatCode>0%</c:formatCode>
                <c:ptCount val="1"/>
                <c:pt idx="0">
                  <c:v>0.30273242222756419</c:v>
                </c:pt>
              </c:numCache>
            </c:numRef>
          </c:val>
          <c:extLst>
            <c:ext xmlns:c16="http://schemas.microsoft.com/office/drawing/2014/chart" uri="{C3380CC4-5D6E-409C-BE32-E72D297353CC}">
              <c16:uniqueId val="{00000001-996E-4EB7-AE8D-1A5DF4CFA246}"/>
            </c:ext>
          </c:extLst>
        </c:ser>
        <c:ser>
          <c:idx val="1"/>
          <c:order val="3"/>
          <c:tx>
            <c:strRef>
              <c:f>Charts!$B$72</c:f>
              <c:strCache>
                <c:ptCount val="1"/>
                <c:pt idx="0">
                  <c:v>North America</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Charts!$C$72</c:f>
              <c:numCache>
                <c:formatCode>0%</c:formatCode>
                <c:ptCount val="1"/>
                <c:pt idx="0">
                  <c:v>0.30395551415516464</c:v>
                </c:pt>
              </c:numCache>
            </c:numRef>
          </c:val>
          <c:extLst>
            <c:ext xmlns:c16="http://schemas.microsoft.com/office/drawing/2014/chart" uri="{C3380CC4-5D6E-409C-BE32-E72D297353CC}">
              <c16:uniqueId val="{00000002-996E-4EB7-AE8D-1A5DF4CFA246}"/>
            </c:ext>
          </c:extLst>
        </c:ser>
        <c:ser>
          <c:idx val="2"/>
          <c:order val="4"/>
          <c:tx>
            <c:strRef>
              <c:f>Charts!$B$73</c:f>
              <c:strCache>
                <c:ptCount val="1"/>
                <c:pt idx="0">
                  <c:v>Europe</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Charts!$C$73</c:f>
              <c:numCache>
                <c:formatCode>0%</c:formatCode>
                <c:ptCount val="1"/>
                <c:pt idx="0">
                  <c:v>0.23493957216475803</c:v>
                </c:pt>
              </c:numCache>
            </c:numRef>
          </c:val>
          <c:extLst>
            <c:ext xmlns:c16="http://schemas.microsoft.com/office/drawing/2014/chart" uri="{C3380CC4-5D6E-409C-BE32-E72D297353CC}">
              <c16:uniqueId val="{00000003-996E-4EB7-AE8D-1A5DF4CFA246}"/>
            </c:ext>
          </c:extLst>
        </c:ser>
        <c:dLbls>
          <c:dLblPos val="inBase"/>
          <c:showLegendKey val="0"/>
          <c:showVal val="1"/>
          <c:showCatName val="0"/>
          <c:showSerName val="0"/>
          <c:showPercent val="0"/>
          <c:showBubbleSize val="0"/>
        </c:dLbls>
        <c:gapWidth val="100"/>
        <c:overlap val="-80"/>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Charts!$B$74</c15:sqref>
                        </c15:formulaRef>
                      </c:ext>
                    </c:extLst>
                    <c:strCache>
                      <c:ptCount val="1"/>
                      <c:pt idx="0">
                        <c:v>APAC</c:v>
                      </c:pt>
                    </c:strCache>
                  </c:strRef>
                </c:tx>
                <c:spPr>
                  <a:solidFill>
                    <a:schemeClr val="accent6">
                      <a:lumMod val="40000"/>
                      <a:lumOff val="60000"/>
                    </a:schemeClr>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AFA-4ABC-BC9A-3B7AF67D933F}"/>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2AFA-4ABC-BC9A-3B7AF67D933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Charts!$C$74</c15:sqref>
                        </c15:formulaRef>
                      </c:ext>
                    </c:extLst>
                    <c:numCache>
                      <c:formatCode>0%</c:formatCode>
                      <c:ptCount val="1"/>
                      <c:pt idx="0">
                        <c:v>0.16534071417559884</c:v>
                      </c:pt>
                    </c:numCache>
                  </c:numRef>
                </c:val>
                <c:extLst>
                  <c:ext xmlns:c16="http://schemas.microsoft.com/office/drawing/2014/chart" uri="{C3380CC4-5D6E-409C-BE32-E72D297353CC}">
                    <c16:uniqueId val="{00000001-C82E-4200-99DD-C3C53CE15687}"/>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11603824"/>
        <c:crosses val="autoZero"/>
        <c:auto val="1"/>
        <c:lblAlgn val="ctr"/>
        <c:lblOffset val="100"/>
        <c:noMultiLvlLbl val="0"/>
      </c:catAx>
      <c:valAx>
        <c:axId val="711603824"/>
        <c:scaling>
          <c:orientation val="minMax"/>
          <c:max val="0.60000000000000009"/>
          <c:min val="0"/>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82044103842783"/>
          <c:y val="3.466689102636266E-2"/>
          <c:w val="0.73878856260924974"/>
          <c:h val="0.9372877509265225"/>
        </c:manualLayout>
      </c:layout>
      <c:barChart>
        <c:barDir val="bar"/>
        <c:grouping val="clustered"/>
        <c:varyColors val="0"/>
        <c:ser>
          <c:idx val="2"/>
          <c:order val="0"/>
          <c:tx>
            <c:strRef>
              <c:f>Charts!$B$9</c:f>
              <c:strCache>
                <c:ptCount val="1"/>
                <c:pt idx="0">
                  <c:v>EDPR</c:v>
                </c:pt>
              </c:strCache>
            </c:strRef>
          </c:tx>
          <c:spPr>
            <a:solidFill>
              <a:schemeClr val="accent1">
                <a:lumMod val="60000"/>
                <a:lumOff val="40000"/>
              </a:schemeClr>
            </a:solidFill>
            <a:ln>
              <a:noFill/>
            </a:ln>
            <a:effectLst/>
          </c:spPr>
          <c:invertIfNegative val="0"/>
          <c:dLbls>
            <c:dLbl>
              <c:idx val="0"/>
              <c:layout>
                <c:manualLayout>
                  <c:x val="-2.467794792175741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294353510632407"/>
                      <c:h val="8.7649060093057576E-2"/>
                    </c:manualLayout>
                  </c15:layout>
                </c:ext>
                <c:ext xmlns:c16="http://schemas.microsoft.com/office/drawing/2014/chart" uri="{C3380CC4-5D6E-409C-BE32-E72D297353CC}">
                  <c16:uniqueId val="{00000001-1F1A-4FC2-AC3F-ED22D76F99F9}"/>
                </c:ext>
              </c:extLst>
            </c:dLbl>
            <c:spPr>
              <a:noFill/>
              <a:ln>
                <a:noFill/>
              </a:ln>
              <a:effectLst/>
            </c:spPr>
            <c:txPr>
              <a:bodyPr rot="0" vert="horz"/>
              <a:lstStyle/>
              <a:p>
                <a:pPr>
                  <a:defRPr sz="1100" b="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Charts!$C$9</c:f>
              <c:numCache>
                <c:formatCode>0%</c:formatCode>
                <c:ptCount val="1"/>
                <c:pt idx="0">
                  <c:v>0.94718714126695358</c:v>
                </c:pt>
              </c:numCache>
            </c:numRef>
          </c:val>
          <c:extLst>
            <c:ext xmlns:c16="http://schemas.microsoft.com/office/drawing/2014/chart" uri="{C3380CC4-5D6E-409C-BE32-E72D297353CC}">
              <c16:uniqueId val="{00000000-A768-4385-8030-6FF9F18A1E24}"/>
            </c:ext>
          </c:extLst>
        </c:ser>
        <c:ser>
          <c:idx val="3"/>
          <c:order val="2"/>
          <c:tx>
            <c:strRef>
              <c:f>Charts!$B$6</c:f>
              <c:strCache>
                <c:ptCount val="1"/>
                <c:pt idx="0">
                  <c:v>S. America</c:v>
                </c:pt>
              </c:strCache>
            </c:strRef>
          </c:tx>
          <c:spPr>
            <a:solidFill>
              <a:schemeClr val="accent4">
                <a:lumMod val="40000"/>
                <a:lumOff val="60000"/>
              </a:schemeClr>
            </a:solidFill>
            <a:ln>
              <a:noFill/>
            </a:ln>
            <a:effectLst/>
          </c:spPr>
          <c:invertIfNegative val="0"/>
          <c:dPt>
            <c:idx val="0"/>
            <c:invertIfNegative val="0"/>
            <c:bubble3D val="0"/>
            <c:extLst>
              <c:ext xmlns:c16="http://schemas.microsoft.com/office/drawing/2014/chart" uri="{C3380CC4-5D6E-409C-BE32-E72D297353CC}">
                <c16:uniqueId val="{00000002-A768-4385-8030-6FF9F18A1E24}"/>
              </c:ext>
            </c:extLst>
          </c:dPt>
          <c:dLbls>
            <c:dLbl>
              <c:idx val="0"/>
              <c:layout>
                <c:manualLayout>
                  <c:x val="-2.265522791139723E-3"/>
                  <c:y val="2.3302516521119274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4723289606937813E-2"/>
                    </c:manualLayout>
                  </c15:layout>
                </c:ext>
                <c:ext xmlns:c16="http://schemas.microsoft.com/office/drawing/2014/chart" uri="{C3380CC4-5D6E-409C-BE32-E72D297353CC}">
                  <c16:uniqueId val="{00000002-A768-4385-8030-6FF9F18A1E24}"/>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Charts!$C$6</c:f>
              <c:numCache>
                <c:formatCode>0%</c:formatCode>
                <c:ptCount val="1"/>
                <c:pt idx="0">
                  <c:v>0.94213321387302662</c:v>
                </c:pt>
              </c:numCache>
            </c:numRef>
          </c:val>
          <c:extLst>
            <c:ext xmlns:c16="http://schemas.microsoft.com/office/drawing/2014/chart" uri="{C3380CC4-5D6E-409C-BE32-E72D297353CC}">
              <c16:uniqueId val="{00000003-A768-4385-8030-6FF9F18A1E24}"/>
            </c:ext>
          </c:extLst>
        </c:ser>
        <c:ser>
          <c:idx val="0"/>
          <c:order val="3"/>
          <c:tx>
            <c:strRef>
              <c:f>Charts!$B$7</c:f>
              <c:strCache>
                <c:ptCount val="1"/>
                <c:pt idx="0">
                  <c:v>North America</c:v>
                </c:pt>
              </c:strCache>
            </c:strRef>
          </c:tx>
          <c:spPr>
            <a:solidFill>
              <a:schemeClr val="accent3">
                <a:lumMod val="40000"/>
                <a:lumOff val="60000"/>
              </a:schemeClr>
            </a:solidFill>
            <a:ln>
              <a:noFill/>
            </a:ln>
            <a:effectLst/>
          </c:spPr>
          <c:invertIfNegative val="0"/>
          <c:dLbls>
            <c:dLbl>
              <c:idx val="0"/>
              <c:spPr>
                <a:noFill/>
                <a:ln>
                  <a:noFill/>
                </a:ln>
                <a:effectLst/>
              </c:spPr>
              <c:txPr>
                <a:bodyPr rot="0" vert="horz" lIns="0" tIns="0" rIns="0" b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2352119585711516"/>
                      <c:h val="8.0578302186305226E-2"/>
                    </c:manualLayout>
                  </c15:layout>
                </c:ext>
                <c:ext xmlns:c16="http://schemas.microsoft.com/office/drawing/2014/chart" uri="{C3380CC4-5D6E-409C-BE32-E72D297353CC}">
                  <c16:uniqueId val="{00000001-9252-4ECE-BC5C-05B664465140}"/>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Charts!$C$7</c:f>
              <c:numCache>
                <c:formatCode>0%</c:formatCode>
                <c:ptCount val="1"/>
                <c:pt idx="0">
                  <c:v>0.95377309612258432</c:v>
                </c:pt>
              </c:numCache>
            </c:numRef>
          </c:val>
          <c:extLst>
            <c:ext xmlns:c16="http://schemas.microsoft.com/office/drawing/2014/chart" uri="{C3380CC4-5D6E-409C-BE32-E72D297353CC}">
              <c16:uniqueId val="{00000004-A768-4385-8030-6FF9F18A1E24}"/>
            </c:ext>
          </c:extLst>
        </c:ser>
        <c:ser>
          <c:idx val="1"/>
          <c:order val="4"/>
          <c:tx>
            <c:strRef>
              <c:f>Charts!$B$8</c:f>
              <c:strCache>
                <c:ptCount val="1"/>
                <c:pt idx="0">
                  <c:v>Europe</c:v>
                </c:pt>
              </c:strCache>
            </c:strRef>
          </c:tx>
          <c:spPr>
            <a:solidFill>
              <a:schemeClr val="accent5">
                <a:lumMod val="40000"/>
                <a:lumOff val="60000"/>
              </a:schemeClr>
            </a:solidFill>
            <a:ln>
              <a:noFill/>
            </a:ln>
            <a:effectLst/>
          </c:spPr>
          <c:invertIfNegative val="0"/>
          <c:dLbls>
            <c:dLbl>
              <c:idx val="0"/>
              <c:spPr>
                <a:noFill/>
                <a:ln>
                  <a:noFill/>
                </a:ln>
                <a:effectLst/>
              </c:spPr>
              <c:txPr>
                <a:bodyPr rot="0" vertOverflow="clip" horzOverflow="clip" vert="horz" lIns="0" rIns="0"/>
                <a:lstStyle/>
                <a:p>
                  <a:pPr>
                    <a:defRPr sz="1100"/>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2235211523757189"/>
                      <c:h val="8.7006936227070911E-2"/>
                    </c:manualLayout>
                  </c15:layout>
                </c:ext>
                <c:ext xmlns:c16="http://schemas.microsoft.com/office/drawing/2014/chart" uri="{C3380CC4-5D6E-409C-BE32-E72D297353CC}">
                  <c16:uniqueId val="{00000002-9D38-432D-8A4E-69802E6B16C1}"/>
                </c:ext>
              </c:extLst>
            </c:dLbl>
            <c:spPr>
              <a:noFill/>
              <a:ln>
                <a:noFill/>
              </a:ln>
              <a:effectLst/>
            </c:spPr>
            <c:txPr>
              <a:bodyPr rot="0" vert="horz"/>
              <a:lstStyle/>
              <a:p>
                <a:pPr>
                  <a:defRPr sz="11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Charts!$C$8</c:f>
              <c:numCache>
                <c:formatCode>0%</c:formatCode>
                <c:ptCount val="1"/>
                <c:pt idx="0">
                  <c:v>0.93292847457102335</c:v>
                </c:pt>
              </c:numCache>
            </c:numRef>
          </c:val>
          <c:extLst>
            <c:ext xmlns:c16="http://schemas.microsoft.com/office/drawing/2014/chart" uri="{C3380CC4-5D6E-409C-BE32-E72D297353CC}">
              <c16:uniqueId val="{00000005-A768-4385-8030-6FF9F18A1E24}"/>
            </c:ext>
          </c:extLst>
        </c:ser>
        <c:dLbls>
          <c:dLblPos val="inBase"/>
          <c:showLegendKey val="0"/>
          <c:showVal val="1"/>
          <c:showCatName val="0"/>
          <c:showSerName val="0"/>
          <c:showPercent val="0"/>
          <c:showBubbleSize val="0"/>
        </c:dLbls>
        <c:gapWidth val="100"/>
        <c:overlap val="-80"/>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Charts!$B$5</c15:sqref>
                        </c15:formulaRef>
                      </c:ext>
                    </c:extLst>
                    <c:strCache>
                      <c:ptCount val="1"/>
                      <c:pt idx="0">
                        <c:v>APAC</c:v>
                      </c:pt>
                    </c:strCache>
                  </c:strRef>
                </c:tx>
                <c:spPr>
                  <a:solidFill>
                    <a:schemeClr val="accent6">
                      <a:lumMod val="40000"/>
                      <a:lumOff val="60000"/>
                    </a:schemeClr>
                  </a:solidFill>
                  <a:ln>
                    <a:noFill/>
                  </a:ln>
                  <a:effectLst/>
                </c:spPr>
                <c:invertIfNegative val="0"/>
                <c:dLbls>
                  <c:dLbl>
                    <c:idx val="0"/>
                    <c:layout>
                      <c:manualLayout>
                        <c:x val="4.6803542336580767E-2"/>
                        <c:y val="-1.1182568806798261E-16"/>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96B9-48A1-A1DA-7AADCE13458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0"/>
                    </c:ext>
                  </c:extLst>
                </c:dLbls>
                <c:val>
                  <c:numRef>
                    <c:extLst>
                      <c:ext uri="{02D57815-91ED-43cb-92C2-25804820EDAC}">
                        <c15:formulaRef>
                          <c15:sqref>Charts!$C$5</c15:sqref>
                        </c15:formulaRef>
                      </c:ext>
                    </c:extLst>
                    <c:numCache>
                      <c:formatCode>0%</c:formatCode>
                      <c:ptCount val="1"/>
                      <c:pt idx="0">
                        <c:v>0</c:v>
                      </c:pt>
                    </c:numCache>
                  </c:numRef>
                </c:val>
                <c:extLst>
                  <c:ext xmlns:c16="http://schemas.microsoft.com/office/drawing/2014/chart" uri="{C3380CC4-5D6E-409C-BE32-E72D297353CC}">
                    <c16:uniqueId val="{00000004-F8C7-44C9-BF5B-22E2C7A26406}"/>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vert="horz"/>
          <a:lstStyle/>
          <a:p>
            <a:pPr>
              <a:defRPr/>
            </a:pPr>
            <a:endParaRPr lang="en-US"/>
          </a:p>
        </c:txPr>
        <c:crossAx val="711603824"/>
        <c:crosses val="autoZero"/>
        <c:auto val="1"/>
        <c:lblAlgn val="ctr"/>
        <c:lblOffset val="100"/>
        <c:noMultiLvlLbl val="0"/>
      </c:catAx>
      <c:valAx>
        <c:axId val="711603824"/>
        <c:scaling>
          <c:orientation val="minMax"/>
          <c:max val="1.5"/>
          <c:min val="0.5"/>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629661573584"/>
          <c:y val="0.11505183323380479"/>
          <c:w val="0.52674067685283199"/>
          <c:h val="0.67570586863869508"/>
        </c:manualLayout>
      </c:layout>
      <c:doughnutChart>
        <c:varyColors val="1"/>
        <c:ser>
          <c:idx val="0"/>
          <c:order val="0"/>
          <c:spPr>
            <a:ln>
              <a:noFill/>
            </a:ln>
          </c:spPr>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C95B-4F0E-954F-19ABB52E1926}"/>
              </c:ext>
            </c:extLst>
          </c:dPt>
          <c:dPt>
            <c:idx val="1"/>
            <c:bubble3D val="0"/>
            <c:spPr>
              <a:solidFill>
                <a:schemeClr val="accent4">
                  <a:lumMod val="40000"/>
                  <a:lumOff val="60000"/>
                </a:schemeClr>
              </a:solidFill>
              <a:ln w="19050">
                <a:noFill/>
              </a:ln>
              <a:effectLst/>
            </c:spPr>
            <c:extLst>
              <c:ext xmlns:c16="http://schemas.microsoft.com/office/drawing/2014/chart" uri="{C3380CC4-5D6E-409C-BE32-E72D297353CC}">
                <c16:uniqueId val="{00000003-C95B-4F0E-954F-19ABB52E1926}"/>
              </c:ext>
            </c:extLst>
          </c:dPt>
          <c:dPt>
            <c:idx val="2"/>
            <c:bubble3D val="0"/>
            <c:spPr>
              <a:solidFill>
                <a:schemeClr val="accent3">
                  <a:lumMod val="40000"/>
                  <a:lumOff val="60000"/>
                </a:schemeClr>
              </a:solidFill>
              <a:ln w="19050">
                <a:noFill/>
              </a:ln>
              <a:effectLst/>
            </c:spPr>
            <c:extLst>
              <c:ext xmlns:c16="http://schemas.microsoft.com/office/drawing/2014/chart" uri="{C3380CC4-5D6E-409C-BE32-E72D297353CC}">
                <c16:uniqueId val="{00000005-C95B-4F0E-954F-19ABB52E1926}"/>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5ED6-48ED-BF08-65DEF596EA10}"/>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8-F95C-4F64-B5F7-072AB89A650F}"/>
              </c:ext>
            </c:extLst>
          </c:dPt>
          <c:dLbls>
            <c:dLbl>
              <c:idx val="2"/>
              <c:layout>
                <c:manualLayout>
                  <c:x val="2.4392160075577965E-3"/>
                  <c:y val="-7.5742765874209925E-4"/>
                </c:manualLayout>
              </c:layout>
              <c:tx>
                <c:rich>
                  <a:bodyPr/>
                  <a:lstStyle/>
                  <a:p>
                    <a:fld id="{71479098-D2D8-4AF5-B359-0F0920F4AE0A}" type="VALUE">
                      <a:rPr lang="en-US">
                        <a:solidFill>
                          <a:sysClr val="windowText" lastClr="000000"/>
                        </a:solidFill>
                      </a:rPr>
                      <a:pPr/>
                      <a:t>[VALUE]</a:t>
                    </a:fld>
                    <a:endParaRPr lang="es-E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95B-4F0E-954F-19ABB52E1926}"/>
                </c:ext>
              </c:extLst>
            </c:dLbl>
            <c:dLbl>
              <c:idx val="4"/>
              <c:layout>
                <c:manualLayout>
                  <c:x val="2.2222222222222133E-2"/>
                  <c:y val="1.5437599540979043E-2"/>
                </c:manualLayout>
              </c:layout>
              <c:numFmt formatCode="0%" sourceLinked="0"/>
              <c:spPr>
                <a:solidFill>
                  <a:schemeClr val="bg1">
                    <a:lumMod val="85000"/>
                  </a:schemeClr>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5C-4F64-B5F7-072AB89A650F}"/>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Charts!$B$61:$B$65</c:f>
              <c:strCache>
                <c:ptCount val="5"/>
                <c:pt idx="0">
                  <c:v>Onshore Wind</c:v>
                </c:pt>
                <c:pt idx="1">
                  <c:v>Solar Utility Scale</c:v>
                </c:pt>
                <c:pt idx="2">
                  <c:v>Solar DG</c:v>
                </c:pt>
                <c:pt idx="3">
                  <c:v>Offshore Wind</c:v>
                </c:pt>
                <c:pt idx="4">
                  <c:v>BESS</c:v>
                </c:pt>
              </c:strCache>
            </c:strRef>
          </c:cat>
          <c:val>
            <c:numRef>
              <c:f>Charts!$C$61:$C$65</c:f>
              <c:numCache>
                <c:formatCode>0%</c:formatCode>
                <c:ptCount val="5"/>
                <c:pt idx="0">
                  <c:v>0.64412726464347536</c:v>
                </c:pt>
                <c:pt idx="1">
                  <c:v>0.24243226826321707</c:v>
                </c:pt>
                <c:pt idx="2">
                  <c:v>5.0185518502857955E-2</c:v>
                </c:pt>
                <c:pt idx="3">
                  <c:v>3.6279506828467763E-2</c:v>
                </c:pt>
                <c:pt idx="4" formatCode="0.0%">
                  <c:v>2.6975436857846476E-2</c:v>
                </c:pt>
              </c:numCache>
            </c:numRef>
          </c:val>
          <c:extLst>
            <c:ext xmlns:c16="http://schemas.microsoft.com/office/drawing/2014/chart" uri="{C3380CC4-5D6E-409C-BE32-E72D297353CC}">
              <c16:uniqueId val="{00000006-C95B-4F0E-954F-19ABB52E1926}"/>
            </c:ext>
          </c:extLst>
        </c:ser>
        <c:dLbls>
          <c:showLegendKey val="0"/>
          <c:showVal val="0"/>
          <c:showCatName val="0"/>
          <c:showSerName val="0"/>
          <c:showPercent val="0"/>
          <c:showBubbleSize val="0"/>
          <c:showLeaderLines val="0"/>
        </c:dLbls>
        <c:firstSliceAng val="98"/>
        <c:holeSize val="75"/>
      </c:doughnutChart>
      <c:spPr>
        <a:noFill/>
        <a:ln>
          <a:noFill/>
        </a:ln>
        <a:effectLst/>
      </c:spPr>
    </c:plotArea>
    <c:legend>
      <c:legendPos val="b"/>
      <c:layout>
        <c:manualLayout>
          <c:xMode val="edge"/>
          <c:yMode val="edge"/>
          <c:x val="0"/>
          <c:y val="0.84625574171916651"/>
          <c:w val="0.99411601714342668"/>
          <c:h val="0.1265142574441626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80072147012615E-2"/>
          <c:y val="8.6012832652225604E-3"/>
          <c:w val="0.86218390904751807"/>
          <c:h val="0.52543718998273048"/>
        </c:manualLayout>
      </c:layout>
      <c:barChart>
        <c:barDir val="bar"/>
        <c:grouping val="percentStacked"/>
        <c:varyColors val="0"/>
        <c:ser>
          <c:idx val="0"/>
          <c:order val="0"/>
          <c:tx>
            <c:strRef>
              <c:f>Charts!$H$44</c:f>
              <c:strCache>
                <c:ptCount val="1"/>
                <c:pt idx="0">
                  <c:v>Onshore Wind</c:v>
                </c:pt>
              </c:strCache>
            </c:strRef>
          </c:tx>
          <c:spPr>
            <a:solidFill>
              <a:schemeClr val="accent5">
                <a:lumMod val="40000"/>
                <a:lumOff val="60000"/>
              </a:schemeClr>
            </a:solidFill>
            <a:ln w="19050">
              <a:noFill/>
            </a:ln>
            <a:effectLst/>
          </c:spPr>
          <c:invertIfNegative val="0"/>
          <c:dPt>
            <c:idx val="4"/>
            <c:invertIfNegative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2603-4356-95EA-7F0AFCC430F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accent5">
                          <a:lumMod val="20000"/>
                          <a:lumOff val="80000"/>
                        </a:schemeClr>
                      </a:solidFill>
                      <a:round/>
                    </a:ln>
                    <a:effectLst/>
                  </c:spPr>
                </c15:leaderLines>
              </c:ext>
            </c:extLst>
          </c:dLbls>
          <c:val>
            <c:numRef>
              <c:f>Charts!$I$44</c:f>
              <c:numCache>
                <c:formatCode>0%</c:formatCode>
                <c:ptCount val="1"/>
                <c:pt idx="0">
                  <c:v>0.75871508514218255</c:v>
                </c:pt>
              </c:numCache>
            </c:numRef>
          </c:val>
          <c:extLst>
            <c:ext xmlns:c16="http://schemas.microsoft.com/office/drawing/2014/chart" uri="{C3380CC4-5D6E-409C-BE32-E72D297353CC}">
              <c16:uniqueId val="{00000002-2603-4356-95EA-7F0AFCC430FE}"/>
            </c:ext>
          </c:extLst>
        </c:ser>
        <c:ser>
          <c:idx val="1"/>
          <c:order val="1"/>
          <c:tx>
            <c:strRef>
              <c:f>Charts!$H$45</c:f>
              <c:strCache>
                <c:ptCount val="1"/>
                <c:pt idx="0">
                  <c:v>Solar Utility Scale</c:v>
                </c:pt>
              </c:strCache>
            </c:strRef>
          </c:tx>
          <c:spPr>
            <a:solidFill>
              <a:schemeClr val="accent4">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Charts!$I$45</c:f>
              <c:numCache>
                <c:formatCode>0%</c:formatCode>
                <c:ptCount val="1"/>
                <c:pt idx="0">
                  <c:v>0.21337398845622238</c:v>
                </c:pt>
              </c:numCache>
            </c:numRef>
          </c:val>
          <c:extLst>
            <c:ext xmlns:c16="http://schemas.microsoft.com/office/drawing/2014/chart" uri="{C3380CC4-5D6E-409C-BE32-E72D297353CC}">
              <c16:uniqueId val="{00000003-2603-4356-95EA-7F0AFCC430FE}"/>
            </c:ext>
          </c:extLst>
        </c:ser>
        <c:ser>
          <c:idx val="2"/>
          <c:order val="2"/>
          <c:tx>
            <c:strRef>
              <c:f>Charts!$H$46</c:f>
              <c:strCache>
                <c:ptCount val="1"/>
                <c:pt idx="0">
                  <c:v>Solar DG</c:v>
                </c:pt>
              </c:strCache>
            </c:strRef>
          </c:tx>
          <c:spPr>
            <a:solidFill>
              <a:schemeClr val="accent3">
                <a:lumMod val="40000"/>
                <a:lumOff val="60000"/>
              </a:schemeClr>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Charts!$I$46</c:f>
              <c:numCache>
                <c:formatCode>0%</c:formatCode>
                <c:ptCount val="1"/>
                <c:pt idx="0">
                  <c:v>2.7910926401595038E-2</c:v>
                </c:pt>
              </c:numCache>
            </c:numRef>
          </c:val>
          <c:extLst>
            <c:ext xmlns:c16="http://schemas.microsoft.com/office/drawing/2014/chart" uri="{C3380CC4-5D6E-409C-BE32-E72D297353CC}">
              <c16:uniqueId val="{00000004-2603-4356-95EA-7F0AFCC430FE}"/>
            </c:ext>
          </c:extLst>
        </c:ser>
        <c:dLbls>
          <c:dLblPos val="ctr"/>
          <c:showLegendKey val="0"/>
          <c:showVal val="1"/>
          <c:showCatName val="0"/>
          <c:showSerName val="0"/>
          <c:showPercent val="0"/>
          <c:showBubbleSize val="0"/>
        </c:dLbls>
        <c:gapWidth val="100"/>
        <c:overlap val="100"/>
        <c:axId val="867497184"/>
        <c:axId val="1538520912"/>
      </c:barChart>
      <c:valAx>
        <c:axId val="1538520912"/>
        <c:scaling>
          <c:orientation val="minMax"/>
          <c:min val="0.30000000000000004"/>
        </c:scaling>
        <c:delete val="1"/>
        <c:axPos val="b"/>
        <c:numFmt formatCode="0%" sourceLinked="1"/>
        <c:majorTickMark val="out"/>
        <c:minorTickMark val="none"/>
        <c:tickLblPos val="nextTo"/>
        <c:crossAx val="867497184"/>
        <c:crosses val="autoZero"/>
        <c:crossBetween val="between"/>
      </c:valAx>
      <c:catAx>
        <c:axId val="867497184"/>
        <c:scaling>
          <c:orientation val="minMax"/>
        </c:scaling>
        <c:delete val="1"/>
        <c:axPos val="l"/>
        <c:majorTickMark val="out"/>
        <c:minorTickMark val="none"/>
        <c:tickLblPos val="nextTo"/>
        <c:crossAx val="1538520912"/>
        <c:crosses val="autoZero"/>
        <c:auto val="1"/>
        <c:lblAlgn val="ctr"/>
        <c:lblOffset val="100"/>
        <c:noMultiLvlLbl val="0"/>
      </c:catAx>
      <c:spPr>
        <a:noFill/>
        <a:ln>
          <a:noFill/>
        </a:ln>
        <a:effectLst/>
      </c:spPr>
    </c:plotArea>
    <c:legend>
      <c:legendPos val="b"/>
      <c:layout>
        <c:manualLayout>
          <c:xMode val="edge"/>
          <c:yMode val="edge"/>
          <c:x val="0.11984417896038857"/>
          <c:y val="0.45656732282252649"/>
          <c:w val="0.76031159144575755"/>
          <c:h val="0.227012282883119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6172-4A58-8F1F-2F3317BF269E}"/>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6172-4A58-8F1F-2F3317BF269E}"/>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6172-4A58-8F1F-2F3317BF269E}"/>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6172-4A58-8F1F-2F3317BF269E}"/>
              </c:ext>
            </c:extLst>
          </c:dPt>
          <c:dLbls>
            <c:dLbl>
              <c:idx val="3"/>
              <c:layout>
                <c:manualLayout>
                  <c:x val="2.0053129694170388E-3"/>
                  <c:y val="6.788419637561296E-4"/>
                </c:manualLayout>
              </c:layout>
              <c:tx>
                <c:rich>
                  <a:bodyPr/>
                  <a:lstStyle/>
                  <a:p>
                    <a:fld id="{E0DF72C9-D51B-4209-AE81-958D0CC2158E}" type="CELLREF">
                      <a:rPr lang="en-US" sz="1100">
                        <a:solidFill>
                          <a:sysClr val="windowText" lastClr="000000"/>
                        </a:solidFill>
                      </a:rPr>
                      <a:pPr/>
                      <a:t>[CELLREF]</a:t>
                    </a:fld>
                    <a:endParaRPr lang="es-ES"/>
                  </a:p>
                </c:rich>
              </c:tx>
              <c:showLegendKey val="0"/>
              <c:showVal val="1"/>
              <c:showCatName val="0"/>
              <c:showSerName val="0"/>
              <c:showPercent val="0"/>
              <c:showBubbleSize val="0"/>
              <c:extLst>
                <c:ext xmlns:c15="http://schemas.microsoft.com/office/drawing/2012/chart" uri="{CE6537A1-D6FC-4f65-9D91-7224C49458BB}">
                  <c15:dlblFieldTable>
                    <c15:dlblFTEntry>
                      <c15:txfldGUID>{E0DF72C9-D51B-4209-AE81-958D0CC2158E}</c15:txfldGUID>
                      <c15:f>Charts!$C$31</c15:f>
                      <c15:dlblFieldTableCache>
                        <c:ptCount val="1"/>
                        <c:pt idx="0">
                          <c:v>6%</c:v>
                        </c:pt>
                      </c15:dlblFieldTableCache>
                    </c15:dlblFTEntry>
                  </c15:dlblFieldTable>
                  <c15:showDataLabelsRange val="0"/>
                </c:ext>
                <c:ext xmlns:c16="http://schemas.microsoft.com/office/drawing/2014/chart" uri="{C3380CC4-5D6E-409C-BE32-E72D297353CC}">
                  <c16:uniqueId val="{00000007-6172-4A58-8F1F-2F3317BF269E}"/>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Charts!$A$28:$A$31</c:f>
              <c:strCache>
                <c:ptCount val="4"/>
                <c:pt idx="0">
                  <c:v>Europa</c:v>
                </c:pt>
                <c:pt idx="1">
                  <c:v>América do N.</c:v>
                </c:pt>
                <c:pt idx="2">
                  <c:v>América do S.</c:v>
                </c:pt>
                <c:pt idx="3">
                  <c:v>APAC</c:v>
                </c:pt>
              </c:strCache>
            </c:strRef>
          </c:cat>
          <c:val>
            <c:numRef>
              <c:f>Charts!$C$28:$C$31</c:f>
              <c:numCache>
                <c:formatCode>0%</c:formatCode>
                <c:ptCount val="4"/>
                <c:pt idx="0">
                  <c:v>0.32387077644905132</c:v>
                </c:pt>
                <c:pt idx="1">
                  <c:v>0.53010614312481086</c:v>
                </c:pt>
                <c:pt idx="2">
                  <c:v>8.9540187371284788E-2</c:v>
                </c:pt>
                <c:pt idx="3">
                  <c:v>5.6482893054852996E-2</c:v>
                </c:pt>
              </c:numCache>
            </c:numRef>
          </c:val>
          <c:extLst>
            <c:ext xmlns:c16="http://schemas.microsoft.com/office/drawing/2014/chart" uri="{C3380CC4-5D6E-409C-BE32-E72D297353CC}">
              <c16:uniqueId val="{00000008-6172-4A58-8F1F-2F3317BF269E}"/>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00800222670656"/>
          <c:y val="6.9523008451185073E-2"/>
          <c:w val="0.534029548775944"/>
          <c:h val="0.76161848660599363"/>
        </c:manualLayout>
      </c:layout>
      <c:doughnutChart>
        <c:varyColors val="1"/>
        <c:ser>
          <c:idx val="0"/>
          <c:order val="0"/>
          <c:spPr>
            <a:ln>
              <a:noFill/>
            </a:ln>
          </c:spPr>
          <c:dPt>
            <c:idx val="0"/>
            <c:bubble3D val="0"/>
            <c:spPr>
              <a:solidFill>
                <a:schemeClr val="accent5">
                  <a:lumMod val="40000"/>
                  <a:lumOff val="60000"/>
                </a:schemeClr>
              </a:solidFill>
              <a:ln w="19050">
                <a:noFill/>
              </a:ln>
              <a:effectLst/>
            </c:spPr>
            <c:extLst>
              <c:ext xmlns:c16="http://schemas.microsoft.com/office/drawing/2014/chart" uri="{C3380CC4-5D6E-409C-BE32-E72D297353CC}">
                <c16:uniqueId val="{00000001-FACA-4A95-9255-EA5DE1E6963D}"/>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FACA-4A95-9255-EA5DE1E6963D}"/>
              </c:ext>
            </c:extLst>
          </c:dPt>
          <c:dPt>
            <c:idx val="2"/>
            <c:bubble3D val="0"/>
            <c:spPr>
              <a:solidFill>
                <a:schemeClr val="accent4">
                  <a:lumMod val="40000"/>
                  <a:lumOff val="60000"/>
                </a:schemeClr>
              </a:solidFill>
              <a:ln w="19050">
                <a:noFill/>
              </a:ln>
              <a:effectLst/>
            </c:spPr>
            <c:extLst>
              <c:ext xmlns:c16="http://schemas.microsoft.com/office/drawing/2014/chart" uri="{C3380CC4-5D6E-409C-BE32-E72D297353CC}">
                <c16:uniqueId val="{00000005-FACA-4A95-9255-EA5DE1E6963D}"/>
              </c:ext>
            </c:extLst>
          </c:dPt>
          <c:dPt>
            <c:idx val="3"/>
            <c:bubble3D val="0"/>
            <c:spPr>
              <a:solidFill>
                <a:schemeClr val="accent6">
                  <a:lumMod val="40000"/>
                  <a:lumOff val="60000"/>
                </a:schemeClr>
              </a:solidFill>
              <a:ln w="19050">
                <a:noFill/>
              </a:ln>
              <a:effectLst/>
            </c:spPr>
            <c:extLst>
              <c:ext xmlns:c16="http://schemas.microsoft.com/office/drawing/2014/chart" uri="{C3380CC4-5D6E-409C-BE32-E72D297353CC}">
                <c16:uniqueId val="{00000007-FACA-4A95-9255-EA5DE1E6963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accent5">
                      <a:lumMod val="20000"/>
                      <a:lumOff val="80000"/>
                    </a:schemeClr>
                  </a:solidFill>
                  <a:round/>
                </a:ln>
                <a:effectLst/>
              </c:spPr>
            </c:leaderLines>
            <c:extLst>
              <c:ext xmlns:c15="http://schemas.microsoft.com/office/drawing/2012/chart" uri="{CE6537A1-D6FC-4f65-9D91-7224C49458BB}"/>
            </c:extLst>
          </c:dLbls>
          <c:cat>
            <c:strRef>
              <c:f>Charts!$A$28:$A$31</c:f>
              <c:strCache>
                <c:ptCount val="4"/>
                <c:pt idx="0">
                  <c:v>Europa</c:v>
                </c:pt>
                <c:pt idx="1">
                  <c:v>América do N.</c:v>
                </c:pt>
                <c:pt idx="2">
                  <c:v>América do S.</c:v>
                </c:pt>
                <c:pt idx="3">
                  <c:v>APAC</c:v>
                </c:pt>
              </c:strCache>
            </c:strRef>
          </c:cat>
          <c:val>
            <c:numRef>
              <c:f>Charts!$C$44:$C$47</c:f>
              <c:numCache>
                <c:formatCode>0%</c:formatCode>
                <c:ptCount val="4"/>
                <c:pt idx="0">
                  <c:v>0.28434437209825847</c:v>
                </c:pt>
                <c:pt idx="1">
                  <c:v>0.57499001440441977</c:v>
                </c:pt>
                <c:pt idx="2">
                  <c:v>0.10305358157301713</c:v>
                </c:pt>
                <c:pt idx="3">
                  <c:v>3.7612031924304831E-2</c:v>
                </c:pt>
              </c:numCache>
            </c:numRef>
          </c:val>
          <c:extLst>
            <c:ext xmlns:c16="http://schemas.microsoft.com/office/drawing/2014/chart" uri="{C3380CC4-5D6E-409C-BE32-E72D297353CC}">
              <c16:uniqueId val="{00000008-FACA-4A95-9255-EA5DE1E6963D}"/>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b"/>
      <c:layout>
        <c:manualLayout>
          <c:xMode val="edge"/>
          <c:yMode val="edge"/>
          <c:x val="6.7528563622290469E-3"/>
          <c:y val="0.84171031458654533"/>
          <c:w val="0.9885326503850721"/>
          <c:h val="0.1582821656857062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43570054898424"/>
          <c:y val="3.408017616275686E-2"/>
          <c:w val="0.53461195246333115"/>
          <c:h val="0.9372877509265225"/>
        </c:manualLayout>
      </c:layout>
      <c:barChart>
        <c:barDir val="bar"/>
        <c:grouping val="clustered"/>
        <c:varyColors val="0"/>
        <c:ser>
          <c:idx val="3"/>
          <c:order val="0"/>
          <c:tx>
            <c:strRef>
              <c:f>Charts!$B$75</c:f>
              <c:strCache>
                <c:ptCount val="1"/>
                <c:pt idx="0">
                  <c:v>EDPR</c:v>
                </c:pt>
              </c:strCache>
            </c:strRef>
          </c:tx>
          <c:spPr>
            <a:solidFill>
              <a:schemeClr val="accent1">
                <a:lumMod val="60000"/>
                <a:lumOff val="40000"/>
              </a:schemeClr>
            </a:solidFill>
            <a:ln>
              <a:noFill/>
            </a:ln>
            <a:effectLst/>
          </c:spPr>
          <c:invertIfNegative val="0"/>
          <c:dLbls>
            <c:dLbl>
              <c:idx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6DC0-4257-BFB6-FF4CFA760D2A}"/>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Charts!$C$75</c:f>
              <c:numCache>
                <c:formatCode>0%</c:formatCode>
                <c:ptCount val="1"/>
                <c:pt idx="0">
                  <c:v>0.27716056530796901</c:v>
                </c:pt>
              </c:numCache>
            </c:numRef>
          </c:val>
          <c:extLst>
            <c:ext xmlns:c16="http://schemas.microsoft.com/office/drawing/2014/chart" uri="{C3380CC4-5D6E-409C-BE32-E72D297353CC}">
              <c16:uniqueId val="{00000001-6DC0-4257-BFB6-FF4CFA760D2A}"/>
            </c:ext>
          </c:extLst>
        </c:ser>
        <c:ser>
          <c:idx val="0"/>
          <c:order val="2"/>
          <c:tx>
            <c:strRef>
              <c:f>Charts!$B$71</c:f>
              <c:strCache>
                <c:ptCount val="1"/>
                <c:pt idx="0">
                  <c:v>South America</c:v>
                </c:pt>
              </c:strCache>
            </c:strRef>
          </c:tx>
          <c:spPr>
            <a:solidFill>
              <a:schemeClr val="accent4">
                <a:lumMod val="40000"/>
                <a:lumOff val="60000"/>
              </a:schemeClr>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6DC0-4257-BFB6-FF4CFA760D2A}"/>
              </c:ext>
            </c:extLst>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Charts!$C$71</c:f>
              <c:numCache>
                <c:formatCode>0%</c:formatCode>
                <c:ptCount val="1"/>
                <c:pt idx="0">
                  <c:v>0.30273242222756419</c:v>
                </c:pt>
              </c:numCache>
            </c:numRef>
          </c:val>
          <c:extLst>
            <c:ext xmlns:c16="http://schemas.microsoft.com/office/drawing/2014/chart" uri="{C3380CC4-5D6E-409C-BE32-E72D297353CC}">
              <c16:uniqueId val="{00000004-6DC0-4257-BFB6-FF4CFA760D2A}"/>
            </c:ext>
          </c:extLst>
        </c:ser>
        <c:ser>
          <c:idx val="1"/>
          <c:order val="3"/>
          <c:tx>
            <c:strRef>
              <c:f>Charts!$B$72</c:f>
              <c:strCache>
                <c:ptCount val="1"/>
                <c:pt idx="0">
                  <c:v>North America</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Charts!$C$72</c:f>
              <c:numCache>
                <c:formatCode>0%</c:formatCode>
                <c:ptCount val="1"/>
                <c:pt idx="0">
                  <c:v>0.30395551415516464</c:v>
                </c:pt>
              </c:numCache>
            </c:numRef>
          </c:val>
          <c:extLst>
            <c:ext xmlns:c16="http://schemas.microsoft.com/office/drawing/2014/chart" uri="{C3380CC4-5D6E-409C-BE32-E72D297353CC}">
              <c16:uniqueId val="{00000005-6DC0-4257-BFB6-FF4CFA760D2A}"/>
            </c:ext>
          </c:extLst>
        </c:ser>
        <c:ser>
          <c:idx val="2"/>
          <c:order val="4"/>
          <c:tx>
            <c:strRef>
              <c:f>Charts!$B$73</c:f>
              <c:strCache>
                <c:ptCount val="1"/>
                <c:pt idx="0">
                  <c:v>Europe</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Charts!$C$73</c:f>
              <c:numCache>
                <c:formatCode>0%</c:formatCode>
                <c:ptCount val="1"/>
                <c:pt idx="0">
                  <c:v>0.23493957216475803</c:v>
                </c:pt>
              </c:numCache>
            </c:numRef>
          </c:val>
          <c:extLst>
            <c:ext xmlns:c16="http://schemas.microsoft.com/office/drawing/2014/chart" uri="{C3380CC4-5D6E-409C-BE32-E72D297353CC}">
              <c16:uniqueId val="{00000006-6DC0-4257-BFB6-FF4CFA760D2A}"/>
            </c:ext>
          </c:extLst>
        </c:ser>
        <c:dLbls>
          <c:dLblPos val="inBase"/>
          <c:showLegendKey val="0"/>
          <c:showVal val="1"/>
          <c:showCatName val="0"/>
          <c:showSerName val="0"/>
          <c:showPercent val="0"/>
          <c:showBubbleSize val="0"/>
        </c:dLbls>
        <c:gapWidth val="100"/>
        <c:overlap val="-80"/>
        <c:axId val="711597592"/>
        <c:axId val="711603824"/>
        <c:extLst>
          <c:ext xmlns:c15="http://schemas.microsoft.com/office/drawing/2012/chart" uri="{02D57815-91ED-43cb-92C2-25804820EDAC}">
            <c15:filteredBarSeries>
              <c15:ser>
                <c:idx val="4"/>
                <c:order val="1"/>
                <c:tx>
                  <c:strRef>
                    <c:extLst>
                      <c:ext uri="{02D57815-91ED-43cb-92C2-25804820EDAC}">
                        <c15:formulaRef>
                          <c15:sqref>Charts!$B$74</c15:sqref>
                        </c15:formulaRef>
                      </c:ext>
                    </c:extLst>
                    <c:strCache>
                      <c:ptCount val="1"/>
                      <c:pt idx="0">
                        <c:v>APAC</c:v>
                      </c:pt>
                    </c:strCache>
                  </c:strRef>
                </c:tx>
                <c:spPr>
                  <a:solidFill>
                    <a:schemeClr val="accent6">
                      <a:lumMod val="40000"/>
                      <a:lumOff val="60000"/>
                    </a:schemeClr>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8-6DC0-4257-BFB6-FF4CFA760D2A}"/>
                    </c:ext>
                  </c:extLst>
                </c:dPt>
                <c:dLbls>
                  <c:dLbl>
                    <c:idx val="0"/>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8-6DC0-4257-BFB6-FF4CFA760D2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Charts!$C$74</c15:sqref>
                        </c15:formulaRef>
                      </c:ext>
                    </c:extLst>
                    <c:numCache>
                      <c:formatCode>0%</c:formatCode>
                      <c:ptCount val="1"/>
                      <c:pt idx="0">
                        <c:v>0.16534071417559884</c:v>
                      </c:pt>
                    </c:numCache>
                  </c:numRef>
                </c:val>
                <c:extLst>
                  <c:ext xmlns:c16="http://schemas.microsoft.com/office/drawing/2014/chart" uri="{C3380CC4-5D6E-409C-BE32-E72D297353CC}">
                    <c16:uniqueId val="{00000009-6DC0-4257-BFB6-FF4CFA760D2A}"/>
                  </c:ext>
                </c:extLst>
              </c15:ser>
            </c15:filteredBarSeries>
          </c:ext>
        </c:extLst>
      </c:barChart>
      <c:catAx>
        <c:axId val="71159759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11603824"/>
        <c:crosses val="autoZero"/>
        <c:auto val="1"/>
        <c:lblAlgn val="ctr"/>
        <c:lblOffset val="100"/>
        <c:noMultiLvlLbl val="0"/>
      </c:catAx>
      <c:valAx>
        <c:axId val="711603824"/>
        <c:scaling>
          <c:orientation val="minMax"/>
          <c:max val="0.60000000000000009"/>
          <c:min val="0"/>
        </c:scaling>
        <c:delete val="1"/>
        <c:axPos val="b"/>
        <c:numFmt formatCode="0%" sourceLinked="1"/>
        <c:majorTickMark val="out"/>
        <c:minorTickMark val="none"/>
        <c:tickLblPos val="nextTo"/>
        <c:crossAx val="7115975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1.png"/><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svg"/><Relationship Id="rId10" Type="http://schemas.openxmlformats.org/officeDocument/2006/relationships/chart" Target="../charts/chart6.xml"/><Relationship Id="rId4" Type="http://schemas.openxmlformats.org/officeDocument/2006/relationships/image" Target="../media/image2.png"/><Relationship Id="rId9"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image" Target="../media/image1.png"/><Relationship Id="rId7" Type="http://schemas.openxmlformats.org/officeDocument/2006/relationships/chart" Target="../charts/chart10.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9.xml"/><Relationship Id="rId5" Type="http://schemas.openxmlformats.org/officeDocument/2006/relationships/image" Target="../media/image5.svg"/><Relationship Id="rId10" Type="http://schemas.openxmlformats.org/officeDocument/2006/relationships/chart" Target="../charts/chart12.xml"/><Relationship Id="rId4" Type="http://schemas.openxmlformats.org/officeDocument/2006/relationships/image" Target="../media/image2.png"/><Relationship Id="rId9"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3.svg"/><Relationship Id="rId13" Type="http://schemas.openxmlformats.org/officeDocument/2006/relationships/chart" Target="../charts/chart17.xml"/><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chart" Target="../charts/chart16.xml"/><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11" Type="http://schemas.openxmlformats.org/officeDocument/2006/relationships/chart" Target="../charts/chart15.xml"/><Relationship Id="rId5" Type="http://schemas.openxmlformats.org/officeDocument/2006/relationships/image" Target="../media/image10.png"/><Relationship Id="rId15" Type="http://schemas.openxmlformats.org/officeDocument/2006/relationships/image" Target="../media/image15.svg"/><Relationship Id="rId10" Type="http://schemas.openxmlformats.org/officeDocument/2006/relationships/chart" Target="../charts/chart14.xml"/><Relationship Id="rId4" Type="http://schemas.openxmlformats.org/officeDocument/2006/relationships/image" Target="../media/image9.svg"/><Relationship Id="rId9" Type="http://schemas.openxmlformats.org/officeDocument/2006/relationships/chart" Target="../charts/chart13.xml"/><Relationship Id="rId1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image" Target="../media/image2.png"/><Relationship Id="rId7" Type="http://schemas.openxmlformats.org/officeDocument/2006/relationships/chart" Target="../charts/chart21.xml"/><Relationship Id="rId2" Type="http://schemas.openxmlformats.org/officeDocument/2006/relationships/image" Target="../media/image1.png"/><Relationship Id="rId1" Type="http://schemas.openxmlformats.org/officeDocument/2006/relationships/chart" Target="../charts/chart18.xml"/><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chart" Target="../charts/chart23.xml"/><Relationship Id="rId4" Type="http://schemas.openxmlformats.org/officeDocument/2006/relationships/image" Target="../media/image5.svg"/><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11</xdr:col>
      <xdr:colOff>201383</xdr:colOff>
      <xdr:row>30</xdr:row>
      <xdr:rowOff>83423</xdr:rowOff>
    </xdr:from>
    <xdr:to>
      <xdr:col>16</xdr:col>
      <xdr:colOff>732883</xdr:colOff>
      <xdr:row>46</xdr:row>
      <xdr:rowOff>25823</xdr:rowOff>
    </xdr:to>
    <xdr:graphicFrame macro="">
      <xdr:nvGraphicFramePr>
        <xdr:cNvPr id="50" name="Chart 55">
          <a:extLst>
            <a:ext uri="{FF2B5EF4-FFF2-40B4-BE49-F238E27FC236}">
              <a16:creationId xmlns:a16="http://schemas.microsoft.com/office/drawing/2014/main" id="{FB63C1DA-918B-4221-AC35-01F1C76DB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125531</xdr:colOff>
      <xdr:row>50</xdr:row>
      <xdr:rowOff>48779</xdr:rowOff>
    </xdr:from>
    <xdr:to>
      <xdr:col>16</xdr:col>
      <xdr:colOff>808734</xdr:colOff>
      <xdr:row>65</xdr:row>
      <xdr:rowOff>207818</xdr:rowOff>
    </xdr:to>
    <xdr:graphicFrame macro="">
      <xdr:nvGraphicFramePr>
        <xdr:cNvPr id="2" name="Chart 55">
          <a:extLst>
            <a:ext uri="{FF2B5EF4-FFF2-40B4-BE49-F238E27FC236}">
              <a16:creationId xmlns:a16="http://schemas.microsoft.com/office/drawing/2014/main" id="{3BE68D65-8D86-3E05-7EEA-C5D4C3400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196788</xdr:colOff>
      <xdr:row>150</xdr:row>
      <xdr:rowOff>254894</xdr:rowOff>
    </xdr:from>
    <xdr:to>
      <xdr:col>1</xdr:col>
      <xdr:colOff>474918</xdr:colOff>
      <xdr:row>152</xdr:row>
      <xdr:rowOff>28888</xdr:rowOff>
    </xdr:to>
    <xdr:pic>
      <xdr:nvPicPr>
        <xdr:cNvPr id="43" name="Picture 42">
          <a:extLst>
            <a:ext uri="{FF2B5EF4-FFF2-40B4-BE49-F238E27FC236}">
              <a16:creationId xmlns:a16="http://schemas.microsoft.com/office/drawing/2014/main" id="{CBE72002-8237-4FB5-930B-F01521CE9BAF}"/>
            </a:ext>
          </a:extLst>
        </xdr:cNvPr>
        <xdr:cNvPicPr>
          <a:picLocks noChangeAspect="1"/>
        </xdr:cNvPicPr>
      </xdr:nvPicPr>
      <xdr:blipFill>
        <a:blip xmlns:r="http://schemas.openxmlformats.org/officeDocument/2006/relationships" r:embed="rId3"/>
        <a:stretch>
          <a:fillRect/>
        </a:stretch>
      </xdr:blipFill>
      <xdr:spPr>
        <a:xfrm>
          <a:off x="1036179" y="36378457"/>
          <a:ext cx="274320" cy="281279"/>
        </a:xfrm>
        <a:prstGeom prst="rect">
          <a:avLst/>
        </a:prstGeom>
      </xdr:spPr>
    </xdr:pic>
    <xdr:clientData/>
  </xdr:twoCellAnchor>
  <xdr:twoCellAnchor editAs="oneCell">
    <xdr:from>
      <xdr:col>1</xdr:col>
      <xdr:colOff>220479</xdr:colOff>
      <xdr:row>149</xdr:row>
      <xdr:rowOff>172408</xdr:rowOff>
    </xdr:from>
    <xdr:to>
      <xdr:col>1</xdr:col>
      <xdr:colOff>588267</xdr:colOff>
      <xdr:row>151</xdr:row>
      <xdr:rowOff>54828</xdr:rowOff>
    </xdr:to>
    <xdr:grpSp>
      <xdr:nvGrpSpPr>
        <xdr:cNvPr id="97" name="Group 96">
          <a:extLst>
            <a:ext uri="{FF2B5EF4-FFF2-40B4-BE49-F238E27FC236}">
              <a16:creationId xmlns:a16="http://schemas.microsoft.com/office/drawing/2014/main" id="{62B0F9F3-7DF1-413E-8632-F95A7278619F}"/>
            </a:ext>
          </a:extLst>
        </xdr:cNvPr>
        <xdr:cNvGrpSpPr>
          <a:grpSpLocks noChangeAspect="1"/>
        </xdr:cNvGrpSpPr>
      </xdr:nvGrpSpPr>
      <xdr:grpSpPr>
        <a:xfrm>
          <a:off x="557483" y="35482944"/>
          <a:ext cx="370963" cy="345063"/>
          <a:chOff x="5929446" y="4795882"/>
          <a:chExt cx="914400" cy="914400"/>
        </a:xfrm>
      </xdr:grpSpPr>
      <xdr:sp macro="" textlink="">
        <xdr:nvSpPr>
          <xdr:cNvPr id="98" name="Oval 97">
            <a:extLst>
              <a:ext uri="{FF2B5EF4-FFF2-40B4-BE49-F238E27FC236}">
                <a16:creationId xmlns:a16="http://schemas.microsoft.com/office/drawing/2014/main" id="{72E988EE-546E-4847-A588-5CE3AE4AE96B}"/>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99" name="Graphic 96">
            <a:extLst>
              <a:ext uri="{FF2B5EF4-FFF2-40B4-BE49-F238E27FC236}">
                <a16:creationId xmlns:a16="http://schemas.microsoft.com/office/drawing/2014/main" id="{B4595737-FA09-414A-94AF-6C66CB5CEF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068046" y="4934482"/>
            <a:ext cx="637200" cy="637200"/>
          </a:xfrm>
          <a:prstGeom prst="rect">
            <a:avLst/>
          </a:prstGeom>
        </xdr:spPr>
      </xdr:pic>
    </xdr:grpSp>
    <xdr:clientData/>
  </xdr:twoCellAnchor>
  <xdr:twoCellAnchor editAs="oneCell">
    <xdr:from>
      <xdr:col>1</xdr:col>
      <xdr:colOff>413696</xdr:colOff>
      <xdr:row>150</xdr:row>
      <xdr:rowOff>102951</xdr:rowOff>
    </xdr:from>
    <xdr:to>
      <xdr:col>1</xdr:col>
      <xdr:colOff>778309</xdr:colOff>
      <xdr:row>151</xdr:row>
      <xdr:rowOff>217132</xdr:rowOff>
    </xdr:to>
    <xdr:grpSp>
      <xdr:nvGrpSpPr>
        <xdr:cNvPr id="94" name="Group 93">
          <a:extLst>
            <a:ext uri="{FF2B5EF4-FFF2-40B4-BE49-F238E27FC236}">
              <a16:creationId xmlns:a16="http://schemas.microsoft.com/office/drawing/2014/main" id="{231ACF12-AC43-42C4-BAFE-FD6B18F66B19}"/>
            </a:ext>
          </a:extLst>
        </xdr:cNvPr>
        <xdr:cNvGrpSpPr>
          <a:grpSpLocks noChangeAspect="1"/>
        </xdr:cNvGrpSpPr>
      </xdr:nvGrpSpPr>
      <xdr:grpSpPr>
        <a:xfrm>
          <a:off x="750700" y="35647983"/>
          <a:ext cx="367788" cy="345503"/>
          <a:chOff x="5472227" y="5216014"/>
          <a:chExt cx="914400" cy="914400"/>
        </a:xfrm>
      </xdr:grpSpPr>
      <xdr:sp macro="" textlink="">
        <xdr:nvSpPr>
          <xdr:cNvPr id="95" name="Oval 94">
            <a:extLst>
              <a:ext uri="{FF2B5EF4-FFF2-40B4-BE49-F238E27FC236}">
                <a16:creationId xmlns:a16="http://schemas.microsoft.com/office/drawing/2014/main" id="{802843D7-CE09-4A21-887C-75EA1E596C67}"/>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96" name="Freeform: Shape 95">
            <a:extLst>
              <a:ext uri="{FF2B5EF4-FFF2-40B4-BE49-F238E27FC236}">
                <a16:creationId xmlns:a16="http://schemas.microsoft.com/office/drawing/2014/main" id="{C42D5B0A-C606-4504-93D0-14B8D063924E}"/>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xdr:col>
      <xdr:colOff>297584</xdr:colOff>
      <xdr:row>174</xdr:row>
      <xdr:rowOff>32516</xdr:rowOff>
    </xdr:from>
    <xdr:to>
      <xdr:col>1</xdr:col>
      <xdr:colOff>664479</xdr:colOff>
      <xdr:row>175</xdr:row>
      <xdr:rowOff>170536</xdr:rowOff>
    </xdr:to>
    <xdr:grpSp>
      <xdr:nvGrpSpPr>
        <xdr:cNvPr id="89" name="Group 88">
          <a:extLst>
            <a:ext uri="{FF2B5EF4-FFF2-40B4-BE49-F238E27FC236}">
              <a16:creationId xmlns:a16="http://schemas.microsoft.com/office/drawing/2014/main" id="{698BACE7-DF71-481A-B3E7-9580FFC9EC4A}"/>
            </a:ext>
          </a:extLst>
        </xdr:cNvPr>
        <xdr:cNvGrpSpPr>
          <a:grpSpLocks/>
        </xdr:cNvGrpSpPr>
      </xdr:nvGrpSpPr>
      <xdr:grpSpPr>
        <a:xfrm>
          <a:off x="634588" y="41122912"/>
          <a:ext cx="370070" cy="372517"/>
          <a:chOff x="7025492" y="5073082"/>
          <a:chExt cx="914400" cy="914400"/>
        </a:xfrm>
      </xdr:grpSpPr>
      <xdr:sp macro="" textlink="">
        <xdr:nvSpPr>
          <xdr:cNvPr id="90" name="Oval 89">
            <a:extLst>
              <a:ext uri="{FF2B5EF4-FFF2-40B4-BE49-F238E27FC236}">
                <a16:creationId xmlns:a16="http://schemas.microsoft.com/office/drawing/2014/main" id="{23AAB976-868F-4983-919B-23A3F410A7C7}"/>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91" name="Group 90">
            <a:extLst>
              <a:ext uri="{FF2B5EF4-FFF2-40B4-BE49-F238E27FC236}">
                <a16:creationId xmlns:a16="http://schemas.microsoft.com/office/drawing/2014/main" id="{DA14BA91-B7B1-4B3A-B4E3-CEE51E2223E8}"/>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92" name="Freeform: Shape 91">
              <a:extLst>
                <a:ext uri="{FF2B5EF4-FFF2-40B4-BE49-F238E27FC236}">
                  <a16:creationId xmlns:a16="http://schemas.microsoft.com/office/drawing/2014/main" id="{29BB03A1-F9AD-4821-A506-70ED6B13AF73}"/>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93" name="Freeform: Shape 92">
              <a:extLst>
                <a:ext uri="{FF2B5EF4-FFF2-40B4-BE49-F238E27FC236}">
                  <a16:creationId xmlns:a16="http://schemas.microsoft.com/office/drawing/2014/main" id="{4ACDA559-1262-4C1E-880C-838B0E3C0BD9}"/>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xdr:col>
      <xdr:colOff>303918</xdr:colOff>
      <xdr:row>128</xdr:row>
      <xdr:rowOff>33280</xdr:rowOff>
    </xdr:from>
    <xdr:to>
      <xdr:col>1</xdr:col>
      <xdr:colOff>663730</xdr:colOff>
      <xdr:row>129</xdr:row>
      <xdr:rowOff>130204</xdr:rowOff>
    </xdr:to>
    <xdr:grpSp>
      <xdr:nvGrpSpPr>
        <xdr:cNvPr id="86" name="Group 85">
          <a:extLst>
            <a:ext uri="{FF2B5EF4-FFF2-40B4-BE49-F238E27FC236}">
              <a16:creationId xmlns:a16="http://schemas.microsoft.com/office/drawing/2014/main" id="{4AF18DE4-FD0B-4391-84F5-EBC7422AEA9A}"/>
            </a:ext>
          </a:extLst>
        </xdr:cNvPr>
        <xdr:cNvGrpSpPr>
          <a:grpSpLocks noChangeAspect="1"/>
        </xdr:cNvGrpSpPr>
      </xdr:nvGrpSpPr>
      <xdr:grpSpPr>
        <a:xfrm>
          <a:off x="644097" y="30482891"/>
          <a:ext cx="359812" cy="331420"/>
          <a:chOff x="2627790" y="5073082"/>
          <a:chExt cx="914400" cy="914400"/>
        </a:xfrm>
      </xdr:grpSpPr>
      <xdr:sp macro="" textlink="">
        <xdr:nvSpPr>
          <xdr:cNvPr id="87" name="Oval 86">
            <a:extLst>
              <a:ext uri="{FF2B5EF4-FFF2-40B4-BE49-F238E27FC236}">
                <a16:creationId xmlns:a16="http://schemas.microsoft.com/office/drawing/2014/main" id="{5069D967-F73D-4713-AE33-D5AD63F0F979}"/>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88" name="Freeform: Shape 87">
            <a:extLst>
              <a:ext uri="{FF2B5EF4-FFF2-40B4-BE49-F238E27FC236}">
                <a16:creationId xmlns:a16="http://schemas.microsoft.com/office/drawing/2014/main" id="{909140B2-3C0D-4A53-B81E-51641A1856FC}"/>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oneCellAnchor>
    <xdr:from>
      <xdr:col>16</xdr:col>
      <xdr:colOff>0</xdr:colOff>
      <xdr:row>187</xdr:row>
      <xdr:rowOff>0</xdr:rowOff>
    </xdr:from>
    <xdr:ext cx="102235" cy="231622"/>
    <xdr:sp macro="" textlink="">
      <xdr:nvSpPr>
        <xdr:cNvPr id="3" name="Text Box 82">
          <a:extLst>
            <a:ext uri="{FF2B5EF4-FFF2-40B4-BE49-F238E27FC236}">
              <a16:creationId xmlns:a16="http://schemas.microsoft.com/office/drawing/2014/main" id="{AC925225-AD26-4A08-A126-55039F1A3C8F}"/>
            </a:ext>
          </a:extLst>
        </xdr:cNvPr>
        <xdr:cNvSpPr txBox="1">
          <a:spLocks noChangeArrowheads="1"/>
        </xdr:cNvSpPr>
      </xdr:nvSpPr>
      <xdr:spPr bwMode="auto">
        <a:xfrm>
          <a:off x="13411200" y="32061150"/>
          <a:ext cx="102235" cy="231622"/>
        </a:xfrm>
        <a:prstGeom prst="rect">
          <a:avLst/>
        </a:prstGeom>
        <a:noFill/>
        <a:ln w="9525">
          <a:noFill/>
          <a:miter lim="800000"/>
          <a:headEnd/>
          <a:tailEnd/>
        </a:ln>
      </xdr:spPr>
    </xdr:sp>
    <xdr:clientData/>
  </xdr:oneCellAnchor>
  <xdr:oneCellAnchor>
    <xdr:from>
      <xdr:col>24</xdr:col>
      <xdr:colOff>880534</xdr:colOff>
      <xdr:row>12</xdr:row>
      <xdr:rowOff>25400</xdr:rowOff>
    </xdr:from>
    <xdr:ext cx="184731" cy="264560"/>
    <xdr:sp macro="" textlink="">
      <xdr:nvSpPr>
        <xdr:cNvPr id="5" name="TextBox 4">
          <a:extLst>
            <a:ext uri="{FF2B5EF4-FFF2-40B4-BE49-F238E27FC236}">
              <a16:creationId xmlns:a16="http://schemas.microsoft.com/office/drawing/2014/main" id="{DFA8B796-D75A-4CB8-B167-EDD97D811270}"/>
            </a:ext>
          </a:extLst>
        </xdr:cNvPr>
        <xdr:cNvSpPr txBox="1"/>
      </xdr:nvSpPr>
      <xdr:spPr>
        <a:xfrm>
          <a:off x="21797434" y="20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twoCellAnchor>
    <xdr:from>
      <xdr:col>11</xdr:col>
      <xdr:colOff>92188</xdr:colOff>
      <xdr:row>72</xdr:row>
      <xdr:rowOff>137030</xdr:rowOff>
    </xdr:from>
    <xdr:to>
      <xdr:col>14</xdr:col>
      <xdr:colOff>19318</xdr:colOff>
      <xdr:row>82</xdr:row>
      <xdr:rowOff>218138</xdr:rowOff>
    </xdr:to>
    <xdr:graphicFrame macro="">
      <xdr:nvGraphicFramePr>
        <xdr:cNvPr id="132" name="Chart 34">
          <a:extLst>
            <a:ext uri="{FF2B5EF4-FFF2-40B4-BE49-F238E27FC236}">
              <a16:creationId xmlns:a16="http://schemas.microsoft.com/office/drawing/2014/main" id="{AF911217-4FE9-4682-A379-85EE7DD2B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11</xdr:col>
      <xdr:colOff>723900</xdr:colOff>
      <xdr:row>109</xdr:row>
      <xdr:rowOff>0</xdr:rowOff>
    </xdr:from>
    <xdr:to>
      <xdr:col>12</xdr:col>
      <xdr:colOff>211749</xdr:colOff>
      <xdr:row>110</xdr:row>
      <xdr:rowOff>124689</xdr:rowOff>
    </xdr:to>
    <xdr:grpSp>
      <xdr:nvGrpSpPr>
        <xdr:cNvPr id="62" name="Group 61">
          <a:extLst>
            <a:ext uri="{FF2B5EF4-FFF2-40B4-BE49-F238E27FC236}">
              <a16:creationId xmlns:a16="http://schemas.microsoft.com/office/drawing/2014/main" id="{5C034EF5-2602-4D85-A935-4758B78DF834}"/>
            </a:ext>
          </a:extLst>
        </xdr:cNvPr>
        <xdr:cNvGrpSpPr>
          <a:grpSpLocks/>
        </xdr:cNvGrpSpPr>
      </xdr:nvGrpSpPr>
      <xdr:grpSpPr>
        <a:xfrm>
          <a:off x="10044793" y="26057679"/>
          <a:ext cx="385920" cy="352835"/>
          <a:chOff x="2627790" y="5073082"/>
          <a:chExt cx="914400" cy="914400"/>
        </a:xfrm>
      </xdr:grpSpPr>
      <xdr:sp macro="" textlink="">
        <xdr:nvSpPr>
          <xdr:cNvPr id="84" name="Oval 83">
            <a:extLst>
              <a:ext uri="{FF2B5EF4-FFF2-40B4-BE49-F238E27FC236}">
                <a16:creationId xmlns:a16="http://schemas.microsoft.com/office/drawing/2014/main" id="{D04BFE08-C729-4197-8C95-E47E181F79DC}"/>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85" name="Freeform: Shape 84">
            <a:extLst>
              <a:ext uri="{FF2B5EF4-FFF2-40B4-BE49-F238E27FC236}">
                <a16:creationId xmlns:a16="http://schemas.microsoft.com/office/drawing/2014/main" id="{C541BEE5-3B4E-4214-BEB9-B4625B89F704}"/>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xdr:from>
      <xdr:col>14</xdr:col>
      <xdr:colOff>247514</xdr:colOff>
      <xdr:row>72</xdr:row>
      <xdr:rowOff>136070</xdr:rowOff>
    </xdr:from>
    <xdr:to>
      <xdr:col>16</xdr:col>
      <xdr:colOff>629258</xdr:colOff>
      <xdr:row>82</xdr:row>
      <xdr:rowOff>217715</xdr:rowOff>
    </xdr:to>
    <xdr:graphicFrame macro="">
      <xdr:nvGraphicFramePr>
        <xdr:cNvPr id="194" name="Chart 36">
          <a:extLst>
            <a:ext uri="{FF2B5EF4-FFF2-40B4-BE49-F238E27FC236}">
              <a16:creationId xmlns:a16="http://schemas.microsoft.com/office/drawing/2014/main" id="{EB8AD95B-203D-4DF8-B378-5C2EA9B3A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20009</xdr:colOff>
      <xdr:row>10</xdr:row>
      <xdr:rowOff>60158</xdr:rowOff>
    </xdr:from>
    <xdr:to>
      <xdr:col>17</xdr:col>
      <xdr:colOff>21167</xdr:colOff>
      <xdr:row>28</xdr:row>
      <xdr:rowOff>154782</xdr:rowOff>
    </xdr:to>
    <xdr:sp macro="" textlink="">
      <xdr:nvSpPr>
        <xdr:cNvPr id="24" name="TextBox 22">
          <a:extLst>
            <a:ext uri="{FF2B5EF4-FFF2-40B4-BE49-F238E27FC236}">
              <a16:creationId xmlns:a16="http://schemas.microsoft.com/office/drawing/2014/main" id="{70B9D50C-518A-427A-96A4-F146E2401054}"/>
            </a:ext>
          </a:extLst>
        </xdr:cNvPr>
        <xdr:cNvSpPr txBox="1"/>
      </xdr:nvSpPr>
      <xdr:spPr>
        <a:xfrm>
          <a:off x="1246353" y="2739064"/>
          <a:ext cx="13395689" cy="4166562"/>
        </a:xfrm>
        <a:prstGeom prst="rect">
          <a:avLst/>
        </a:prstGeom>
        <a:noFill/>
        <a:ln w="6350">
          <a:noFill/>
          <a:miter lim="800000"/>
        </a:ln>
      </xdr:spPr>
      <xdr:txBody>
        <a:bodyPr vertOverflow="clip" horzOverflow="clip" vert="horz" wrap="square" lIns="0" tIns="0" rIns="0" bIns="0" rtlCol="0" anchor="t">
          <a:noAutofit/>
        </a:bodyPr>
        <a:lstStyle/>
        <a:p>
          <a:pPr algn="just">
            <a:lnSpc>
              <a:spcPct val="107000"/>
            </a:lnSpc>
            <a:spcAft>
              <a:spcPts val="500"/>
            </a:spcAft>
            <a:buNone/>
            <a:tabLst>
              <a:tab pos="457200" algn="l"/>
            </a:tabLst>
          </a:pPr>
          <a:r>
            <a:rPr lang="en-GB" sz="1080">
              <a:effectLst/>
              <a:latin typeface="FT Base Medium" pitchFamily="2" charset="0"/>
              <a:ea typeface="Mulish"/>
              <a:cs typeface="Times New Roman" panose="02020603050405020304" pitchFamily="18" charset="0"/>
            </a:rPr>
            <a:t>In 2025, EDPR increased its generation by +11% to ~41 TWh and installed capacity to 20 GW with 2 GW gross additions, on the back of strong execution and robust operational performance.</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Gross capacity additions amounted to +2.0 GW in 2025</a:t>
          </a:r>
          <a:r>
            <a:rPr lang="en-GB" sz="1080">
              <a:effectLst/>
              <a:latin typeface="FT Base Book" pitchFamily="2" charset="0"/>
              <a:ea typeface="Mulish"/>
              <a:cs typeface="Times New Roman" panose="02020603050405020304" pitchFamily="18" charset="0"/>
            </a:rPr>
            <a:t>, in line with the latest guidance. </a:t>
          </a:r>
          <a:r>
            <a:rPr lang="en-GB" sz="1080">
              <a:effectLst/>
              <a:latin typeface="FT Base Medium" pitchFamily="2" charset="0"/>
              <a:ea typeface="Mulish"/>
              <a:cs typeface="Times New Roman" panose="02020603050405020304" pitchFamily="18" charset="0"/>
            </a:rPr>
            <a:t>By region,</a:t>
          </a:r>
          <a:r>
            <a:rPr lang="en-GB" sz="1080">
              <a:effectLst/>
              <a:latin typeface="FT Base Book" pitchFamily="2" charset="0"/>
              <a:ea typeface="Mulish"/>
              <a:cs typeface="Times New Roman" panose="02020603050405020304" pitchFamily="18" charset="0"/>
            </a:rPr>
            <a:t> North America accounted for 55% of the additions, followed by 32% in Europe, 7% in APAC and 6% in South America. </a:t>
          </a:r>
          <a:r>
            <a:rPr lang="en-GB" sz="1080">
              <a:effectLst/>
              <a:latin typeface="FT Base Medium" pitchFamily="2" charset="0"/>
              <a:ea typeface="Mulish"/>
              <a:cs typeface="Times New Roman" panose="02020603050405020304" pitchFamily="18" charset="0"/>
            </a:rPr>
            <a:t>By technology</a:t>
          </a:r>
          <a:r>
            <a:rPr lang="en-GB" sz="1080">
              <a:effectLst/>
              <a:latin typeface="FT Base Book" pitchFamily="2" charset="0"/>
              <a:ea typeface="Mulish"/>
              <a:cs typeface="Times New Roman" panose="02020603050405020304" pitchFamily="18" charset="0"/>
            </a:rPr>
            <a:t>, 48% of additions are in solar projects, 28% in onshore wind, 17% in BESS, more than doubling installed capacity to 0.6 GW, and 6% in offshore wind (related to OW’s Noirmoutier project in France).</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The evolution of installed capacity to 20.4 GW also reflects the impact of five 100% stake asset rotation </a:t>
          </a:r>
          <a:r>
            <a:rPr lang="en-GB" sz="1080">
              <a:effectLst/>
              <a:latin typeface="FT Base Book" pitchFamily="2" charset="0"/>
              <a:ea typeface="Mulish"/>
              <a:cs typeface="Times New Roman" panose="02020603050405020304" pitchFamily="18" charset="0"/>
            </a:rPr>
            <a:t>transactions totalling 0.8 GW, of which in 2Q25 a 83 MW solar portfolio in Spain, in 3Q25 a 121 MW wind portfolio across France and Belgium, and in 4Q25 related to two solar portfolios of 207 MW in Italy and 190 MW in Spain and</a:t>
          </a:r>
          <a:r>
            <a:rPr lang="en-GB" sz="1080" baseline="0">
              <a:effectLst/>
              <a:latin typeface="FT Base Book" pitchFamily="2" charset="0"/>
              <a:ea typeface="Mulish"/>
              <a:cs typeface="Times New Roman" panose="02020603050405020304" pitchFamily="18" charset="0"/>
            </a:rPr>
            <a:t> a</a:t>
          </a:r>
          <a:r>
            <a:rPr lang="en-GB" sz="1080">
              <a:effectLst/>
              <a:latin typeface="FT Base Book" pitchFamily="2" charset="0"/>
              <a:ea typeface="Mulish"/>
              <a:cs typeface="Times New Roman" panose="02020603050405020304" pitchFamily="18" charset="0"/>
            </a:rPr>
            <a:t> 150 MW wind portfolio in Greece. Regarding this last transaction, as conditions precedent were met in December, capacity deconsolidation and asset rotation gains are expected to be accounted in 4Q25, while asset rotation proceeds are expected to be accounted in 1Q26.</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Book" pitchFamily="2" charset="0"/>
              <a:ea typeface="Mulish"/>
              <a:cs typeface="Times New Roman" panose="02020603050405020304" pitchFamily="18" charset="0"/>
            </a:rPr>
            <a:t>Additionally, EDPR has closed two 49% stake transactions in the US, in 3Q25 a 392 MW portfolio of solar and BESS assets and in 4Q25 a 1.6 GW portfolio of wind, solar and BESS assets, with no impact on installed capacity while associated asset rotation proceeds were realized in 2025.</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As of Dec-25, capacity under construction totalled 1.6 GW supporting capacity scheduled for 2026 and beyond.</a:t>
          </a:r>
          <a:r>
            <a:rPr lang="en-GB" sz="1080" b="1">
              <a:effectLst/>
              <a:latin typeface="FT Base Book" pitchFamily="2" charset="0"/>
              <a:ea typeface="Mulish"/>
              <a:cs typeface="Times New Roman" panose="02020603050405020304" pitchFamily="18" charset="0"/>
            </a:rPr>
            <a:t> </a:t>
          </a:r>
          <a:r>
            <a:rPr lang="en-GB" sz="1080">
              <a:effectLst/>
              <a:latin typeface="FT Base Book" pitchFamily="2" charset="0"/>
              <a:ea typeface="Mulish"/>
              <a:cs typeface="Times New Roman" panose="02020603050405020304" pitchFamily="18" charset="0"/>
            </a:rPr>
            <a:t>By technology,</a:t>
          </a:r>
          <a:r>
            <a:rPr lang="en-GB" sz="1080" b="1">
              <a:effectLst/>
              <a:latin typeface="FT Base Book" pitchFamily="2" charset="0"/>
              <a:ea typeface="Mulish"/>
              <a:cs typeface="Times New Roman" panose="02020603050405020304" pitchFamily="18" charset="0"/>
            </a:rPr>
            <a:t> </a:t>
          </a:r>
          <a:r>
            <a:rPr lang="en-GB" sz="1080">
              <a:effectLst/>
              <a:latin typeface="FT Base Book" pitchFamily="2" charset="0"/>
              <a:ea typeface="Mulish"/>
              <a:cs typeface="Times New Roman" panose="02020603050405020304" pitchFamily="18" charset="0"/>
            </a:rPr>
            <a:t>capacity under construction includes 0.7 GW of solar, with a higher contribution from the US, 0.2 GW of wind onshore, primarily concentrated in Europe, 0.3 GW of BESS, mainly in the US, and 0.4 GW of wind offshore, related to OW’s French projects and the start of construction of BC Wind in Poland</a:t>
          </a:r>
          <a:r>
            <a:rPr lang="en-GB" sz="1080" b="1">
              <a:effectLst/>
              <a:latin typeface="FT Base Book" pitchFamily="2" charset="0"/>
              <a:ea typeface="Mulish"/>
              <a:cs typeface="Times New Roman" panose="02020603050405020304" pitchFamily="18" charset="0"/>
            </a:rPr>
            <a:t>.</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EDPR renewables generation index</a:t>
          </a:r>
          <a:r>
            <a:rPr lang="en-GB" sz="1080">
              <a:effectLst/>
              <a:latin typeface="FT Base Book" pitchFamily="2" charset="0"/>
              <a:ea typeface="Mulish"/>
              <a:cs typeface="Times New Roman" panose="02020603050405020304" pitchFamily="18" charset="0"/>
            </a:rPr>
            <a:t>, which reflects deviations of renewables’ resources vs. long term average Gross Capacity Factor (P50 GCF),</a:t>
          </a:r>
          <a:r>
            <a:rPr lang="en-GB" sz="1080">
              <a:effectLst/>
              <a:latin typeface="FT Base Medium" pitchFamily="2" charset="0"/>
              <a:ea typeface="Mulish"/>
              <a:cs typeface="Times New Roman" panose="02020603050405020304" pitchFamily="18" charset="0"/>
            </a:rPr>
            <a:t> stood at 95% in 2025</a:t>
          </a:r>
          <a:r>
            <a:rPr lang="en-GB" sz="1080">
              <a:effectLst/>
              <a:latin typeface="FT Base Book" pitchFamily="2" charset="0"/>
              <a:ea typeface="Mulish"/>
              <a:cs typeface="Times New Roman" panose="02020603050405020304" pitchFamily="18" charset="0"/>
            </a:rPr>
            <a:t> (vs. 98% in 2024) mainly impacted by low wind resource during the year with below than expected LT avg. by 9% in 4Q25. Renewable resources below the expected LT avg. across regions, namely by 5% in North America, 6% in South America and 7%in Europe.</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Book" pitchFamily="2" charset="0"/>
              <a:ea typeface="Mulish"/>
              <a:cs typeface="Times New Roman" panose="02020603050405020304" pitchFamily="18" charset="0"/>
            </a:rPr>
            <a:t>Overall, </a:t>
          </a:r>
          <a:r>
            <a:rPr lang="en-GB" sz="1080">
              <a:effectLst/>
              <a:latin typeface="FT Base Medium" pitchFamily="2" charset="0"/>
              <a:ea typeface="Mulish"/>
              <a:cs typeface="Times New Roman" panose="02020603050405020304" pitchFamily="18" charset="0"/>
            </a:rPr>
            <a:t>EDPR’s electricity generation increased +11% YoY to 40.6 TWh</a:t>
          </a:r>
          <a:r>
            <a:rPr lang="en-GB" sz="1080">
              <a:effectLst/>
              <a:latin typeface="FT Base Book" pitchFamily="2" charset="0"/>
              <a:ea typeface="Mulish"/>
              <a:cs typeface="Times New Roman" panose="02020603050405020304" pitchFamily="18" charset="0"/>
            </a:rPr>
            <a:t>, with North America and Europe representing 57% and 28%, respectively. Following the 0.9 GW increase in solar capacity in the last 12 months, </a:t>
          </a:r>
          <a:r>
            <a:rPr lang="en-GB" sz="1080">
              <a:effectLst/>
              <a:latin typeface="FT Base Medium" pitchFamily="2" charset="0"/>
              <a:ea typeface="Mulish"/>
              <a:cs typeface="Times New Roman" panose="02020603050405020304" pitchFamily="18" charset="0"/>
            </a:rPr>
            <a:t>solar utility scale generation almost doubled</a:t>
          </a:r>
          <a:r>
            <a:rPr lang="en-GB" sz="1080">
              <a:effectLst/>
              <a:latin typeface="FT Base Book" pitchFamily="2" charset="0"/>
              <a:ea typeface="Mulish"/>
              <a:cs typeface="Times New Roman" panose="02020603050405020304" pitchFamily="18" charset="0"/>
            </a:rPr>
            <a:t> YoY becoming 24% of total generation, while </a:t>
          </a:r>
          <a:r>
            <a:rPr lang="en-GB" sz="1080">
              <a:effectLst/>
              <a:latin typeface="FT Base Medium" pitchFamily="2" charset="0"/>
              <a:ea typeface="Mulish"/>
              <a:cs typeface="Times New Roman" panose="02020603050405020304" pitchFamily="18" charset="0"/>
            </a:rPr>
            <a:t>wind generation continues to be the primary source</a:t>
          </a:r>
          <a:r>
            <a:rPr lang="en-GB" sz="1080">
              <a:effectLst/>
              <a:latin typeface="FT Base Book" pitchFamily="2" charset="0"/>
              <a:ea typeface="Mulish"/>
              <a:cs typeface="Times New Roman" panose="02020603050405020304" pitchFamily="18" charset="0"/>
            </a:rPr>
            <a:t>, contributing with 76% of total generation.</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In North America</a:t>
          </a:r>
          <a:r>
            <a:rPr lang="en-GB" sz="1080">
              <a:effectLst/>
              <a:latin typeface="FT Base Book" pitchFamily="2" charset="0"/>
              <a:ea typeface="Mulish"/>
              <a:cs typeface="Times New Roman" panose="02020603050405020304" pitchFamily="18" charset="0"/>
            </a:rPr>
            <a:t> </a:t>
          </a:r>
          <a:r>
            <a:rPr lang="en-GB" sz="1080">
              <a:effectLst/>
              <a:latin typeface="FT Base Medium" pitchFamily="2" charset="0"/>
              <a:ea typeface="Mulish"/>
              <a:cs typeface="Times New Roman" panose="02020603050405020304" pitchFamily="18" charset="0"/>
            </a:rPr>
            <a:t>generation rose +16% YoY</a:t>
          </a:r>
          <a:r>
            <a:rPr lang="en-GB" sz="1080">
              <a:effectLst/>
              <a:latin typeface="FT Base Book" pitchFamily="2" charset="0"/>
              <a:ea typeface="Mulish"/>
              <a:cs typeface="Times New Roman" panose="02020603050405020304" pitchFamily="18" charset="0"/>
            </a:rPr>
            <a:t>, mainly driven by new additions. </a:t>
          </a:r>
          <a:r>
            <a:rPr lang="en-GB" sz="1080">
              <a:effectLst/>
              <a:latin typeface="FT Base Medium" pitchFamily="2" charset="0"/>
              <a:ea typeface="Mulish"/>
              <a:cs typeface="Times New Roman" panose="02020603050405020304" pitchFamily="18" charset="0"/>
            </a:rPr>
            <a:t>In Europe</a:t>
          </a:r>
          <a:r>
            <a:rPr lang="en-GB" sz="1080">
              <a:effectLst/>
              <a:latin typeface="FT Base Book" pitchFamily="2" charset="0"/>
              <a:ea typeface="Mulish"/>
              <a:cs typeface="Times New Roman" panose="02020603050405020304" pitchFamily="18" charset="0"/>
            </a:rPr>
            <a:t>, </a:t>
          </a:r>
          <a:r>
            <a:rPr lang="en-GB" sz="1080">
              <a:effectLst/>
              <a:latin typeface="FT Base Medium" pitchFamily="2" charset="0"/>
              <a:ea typeface="Mulish"/>
              <a:cs typeface="Times New Roman" panose="02020603050405020304" pitchFamily="18" charset="0"/>
            </a:rPr>
            <a:t>generation remained flat</a:t>
          </a:r>
          <a:r>
            <a:rPr lang="en-GB" sz="1080">
              <a:effectLst/>
              <a:latin typeface="FT Base Book" pitchFamily="2" charset="0"/>
              <a:ea typeface="Mulish"/>
              <a:cs typeface="Times New Roman" panose="02020603050405020304" pitchFamily="18" charset="0"/>
            </a:rPr>
            <a:t> impacted by below average wind resources and asset rotations, partially offset by new additions. </a:t>
          </a:r>
          <a:r>
            <a:rPr lang="en-GB" sz="1080">
              <a:effectLst/>
              <a:latin typeface="FT Base Medium" pitchFamily="2" charset="0"/>
              <a:ea typeface="Mulish"/>
              <a:cs typeface="Times New Roman" panose="02020603050405020304" pitchFamily="18" charset="0"/>
            </a:rPr>
            <a:t>In South America</a:t>
          </a:r>
          <a:r>
            <a:rPr lang="en-GB" sz="1080">
              <a:effectLst/>
              <a:latin typeface="FT Base Book" pitchFamily="2" charset="0"/>
              <a:ea typeface="Mulish"/>
              <a:cs typeface="Times New Roman" panose="02020603050405020304" pitchFamily="18" charset="0"/>
            </a:rPr>
            <a:t> </a:t>
          </a:r>
          <a:r>
            <a:rPr lang="en-GB" sz="1080">
              <a:effectLst/>
              <a:latin typeface="FT Base Medium" pitchFamily="2" charset="0"/>
              <a:ea typeface="Mulish"/>
              <a:cs typeface="Times New Roman" panose="02020603050405020304" pitchFamily="18" charset="0"/>
            </a:rPr>
            <a:t>generation increased +22% YoY</a:t>
          </a:r>
          <a:r>
            <a:rPr lang="en-GB" sz="1080">
              <a:effectLst/>
              <a:latin typeface="FT Base Book" pitchFamily="2" charset="0"/>
              <a:ea typeface="Mulish"/>
              <a:cs typeface="Times New Roman" panose="02020603050405020304" pitchFamily="18" charset="0"/>
            </a:rPr>
            <a:t>, supported by improved wind conditions and new capacity additions in Brazil. </a:t>
          </a:r>
          <a:r>
            <a:rPr lang="en-GB" sz="1080">
              <a:effectLst/>
              <a:latin typeface="FT Base Medium" pitchFamily="2" charset="0"/>
              <a:ea typeface="Mulish"/>
              <a:cs typeface="Times New Roman" panose="02020603050405020304" pitchFamily="18" charset="0"/>
            </a:rPr>
            <a:t>APAC</a:t>
          </a:r>
          <a:r>
            <a:rPr lang="en-GB" sz="1080">
              <a:effectLst/>
              <a:latin typeface="FT Base Book" pitchFamily="2" charset="0"/>
              <a:ea typeface="Mulish"/>
              <a:cs typeface="Times New Roman" panose="02020603050405020304" pitchFamily="18" charset="0"/>
            </a:rPr>
            <a:t> </a:t>
          </a:r>
          <a:r>
            <a:rPr lang="en-GB" sz="1080">
              <a:effectLst/>
              <a:latin typeface="FT Base Medium" pitchFamily="2" charset="0"/>
              <a:ea typeface="Mulish"/>
              <a:cs typeface="Times New Roman" panose="02020603050405020304" pitchFamily="18" charset="0"/>
            </a:rPr>
            <a:t>generation grew +9% YoY</a:t>
          </a:r>
          <a:r>
            <a:rPr lang="en-GB" sz="1080">
              <a:effectLst/>
              <a:latin typeface="FT Base Book" pitchFamily="2" charset="0"/>
              <a:ea typeface="Mulish"/>
              <a:cs typeface="Times New Roman" panose="02020603050405020304" pitchFamily="18" charset="0"/>
            </a:rPr>
            <a:t>, following solar capacity additions, and now represents 4% of EDPR’s total production. </a:t>
          </a:r>
          <a:endParaRPr lang="es-ES" sz="1080">
            <a:effectLst/>
            <a:latin typeface="Mulish"/>
            <a:ea typeface="Mulish"/>
            <a:cs typeface="Times New Roman" panose="02020603050405020304" pitchFamily="18" charset="0"/>
          </a:endParaRPr>
        </a:p>
        <a:p>
          <a:pPr marL="342900" lvl="0" indent="-342900" algn="just">
            <a:lnSpc>
              <a:spcPct val="107000"/>
            </a:lnSpc>
            <a:spcAft>
              <a:spcPts val="500"/>
            </a:spcAft>
            <a:buFont typeface="Arial" panose="020B0604020202020204" pitchFamily="34" charset="0"/>
            <a:buChar char="•"/>
            <a:tabLst>
              <a:tab pos="228600" algn="l"/>
              <a:tab pos="457200" algn="l"/>
            </a:tabLst>
          </a:pPr>
          <a:r>
            <a:rPr lang="en-GB" sz="1080">
              <a:effectLst/>
              <a:latin typeface="FT Base Medium" pitchFamily="2" charset="0"/>
              <a:ea typeface="Mulish"/>
              <a:cs typeface="Times New Roman" panose="02020603050405020304" pitchFamily="18" charset="0"/>
            </a:rPr>
            <a:t>EDPR's 2025 results will be released on February 25th, 2026</a:t>
          </a:r>
          <a:r>
            <a:rPr lang="en-GB" sz="1080">
              <a:effectLst/>
              <a:latin typeface="FT Base Book" pitchFamily="2" charset="0"/>
              <a:ea typeface="Mulish"/>
              <a:cs typeface="Times New Roman" panose="02020603050405020304" pitchFamily="18" charset="0"/>
            </a:rPr>
            <a:t>. A conference call will take place on the same day at 16:30 CET | 15:30 UK/Lisbon.</a:t>
          </a:r>
          <a:endParaRPr lang="es-ES" sz="1080">
            <a:effectLst/>
            <a:latin typeface="Mulish"/>
            <a:ea typeface="Mulish"/>
            <a:cs typeface="Times New Roman" panose="02020603050405020304" pitchFamily="18" charset="0"/>
          </a:endParaRPr>
        </a:p>
      </xdr:txBody>
    </xdr:sp>
    <xdr:clientData/>
  </xdr:twoCellAnchor>
  <xdr:twoCellAnchor>
    <xdr:from>
      <xdr:col>11</xdr:col>
      <xdr:colOff>1</xdr:colOff>
      <xdr:row>101</xdr:row>
      <xdr:rowOff>225014</xdr:rowOff>
    </xdr:from>
    <xdr:to>
      <xdr:col>17</xdr:col>
      <xdr:colOff>1</xdr:colOff>
      <xdr:row>118</xdr:row>
      <xdr:rowOff>187400</xdr:rowOff>
    </xdr:to>
    <xdr:graphicFrame macro="">
      <xdr:nvGraphicFramePr>
        <xdr:cNvPr id="58" name="Chart 57">
          <a:extLst>
            <a:ext uri="{FF2B5EF4-FFF2-40B4-BE49-F238E27FC236}">
              <a16:creationId xmlns:a16="http://schemas.microsoft.com/office/drawing/2014/main" id="{B4869B29-7922-4478-995A-83B6A2801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15</xdr:col>
      <xdr:colOff>109391</xdr:colOff>
      <xdr:row>103</xdr:row>
      <xdr:rowOff>162012</xdr:rowOff>
    </xdr:from>
    <xdr:to>
      <xdr:col>15</xdr:col>
      <xdr:colOff>477941</xdr:colOff>
      <xdr:row>105</xdr:row>
      <xdr:rowOff>59603</xdr:rowOff>
    </xdr:to>
    <xdr:grpSp>
      <xdr:nvGrpSpPr>
        <xdr:cNvPr id="63" name="Group 62">
          <a:extLst>
            <a:ext uri="{FF2B5EF4-FFF2-40B4-BE49-F238E27FC236}">
              <a16:creationId xmlns:a16="http://schemas.microsoft.com/office/drawing/2014/main" id="{6B9E798C-2A05-4D9F-86CB-43F6AFB50A2B}"/>
            </a:ext>
          </a:extLst>
        </xdr:cNvPr>
        <xdr:cNvGrpSpPr>
          <a:grpSpLocks/>
        </xdr:cNvGrpSpPr>
      </xdr:nvGrpSpPr>
      <xdr:grpSpPr>
        <a:xfrm>
          <a:off x="13019395" y="24828587"/>
          <a:ext cx="371725" cy="363409"/>
          <a:chOff x="5472227" y="5216014"/>
          <a:chExt cx="914400" cy="914400"/>
        </a:xfrm>
      </xdr:grpSpPr>
      <xdr:sp macro="" textlink="">
        <xdr:nvSpPr>
          <xdr:cNvPr id="82" name="Oval 81">
            <a:extLst>
              <a:ext uri="{FF2B5EF4-FFF2-40B4-BE49-F238E27FC236}">
                <a16:creationId xmlns:a16="http://schemas.microsoft.com/office/drawing/2014/main" id="{FD2C6B94-5C06-4DEB-8917-DD722241DA10}"/>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83" name="Freeform: Shape 82">
            <a:extLst>
              <a:ext uri="{FF2B5EF4-FFF2-40B4-BE49-F238E27FC236}">
                <a16:creationId xmlns:a16="http://schemas.microsoft.com/office/drawing/2014/main" id="{976F7EFA-6207-4D45-82C6-00D2F30487A7}"/>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15</xdr:col>
      <xdr:colOff>659541</xdr:colOff>
      <xdr:row>108</xdr:row>
      <xdr:rowOff>90754</xdr:rowOff>
    </xdr:from>
    <xdr:to>
      <xdr:col>16</xdr:col>
      <xdr:colOff>170793</xdr:colOff>
      <xdr:row>109</xdr:row>
      <xdr:rowOff>212408</xdr:rowOff>
    </xdr:to>
    <xdr:grpSp>
      <xdr:nvGrpSpPr>
        <xdr:cNvPr id="64" name="Group 63">
          <a:extLst>
            <a:ext uri="{FF2B5EF4-FFF2-40B4-BE49-F238E27FC236}">
              <a16:creationId xmlns:a16="http://schemas.microsoft.com/office/drawing/2014/main" id="{9C6D3AEF-F816-4D02-8E44-C28775150AFF}"/>
            </a:ext>
          </a:extLst>
        </xdr:cNvPr>
        <xdr:cNvGrpSpPr>
          <a:grpSpLocks/>
        </xdr:cNvGrpSpPr>
      </xdr:nvGrpSpPr>
      <xdr:grpSpPr>
        <a:xfrm>
          <a:off x="13569545" y="25913936"/>
          <a:ext cx="412498" cy="356151"/>
          <a:chOff x="7025492" y="5073082"/>
          <a:chExt cx="914400" cy="914400"/>
        </a:xfrm>
      </xdr:grpSpPr>
      <xdr:sp macro="" textlink="">
        <xdr:nvSpPr>
          <xdr:cNvPr id="78" name="Oval 77">
            <a:extLst>
              <a:ext uri="{FF2B5EF4-FFF2-40B4-BE49-F238E27FC236}">
                <a16:creationId xmlns:a16="http://schemas.microsoft.com/office/drawing/2014/main" id="{5F819652-F252-4ED4-9CEC-1BDA5D53CE29}"/>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79" name="Group 78">
            <a:extLst>
              <a:ext uri="{FF2B5EF4-FFF2-40B4-BE49-F238E27FC236}">
                <a16:creationId xmlns:a16="http://schemas.microsoft.com/office/drawing/2014/main" id="{6EF19ED3-3881-4B7A-A411-097E6EAC940B}"/>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80" name="Freeform: Shape 79">
              <a:extLst>
                <a:ext uri="{FF2B5EF4-FFF2-40B4-BE49-F238E27FC236}">
                  <a16:creationId xmlns:a16="http://schemas.microsoft.com/office/drawing/2014/main" id="{4640114C-E038-468A-AB96-A278ECC1FBFF}"/>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81" name="Freeform: Shape 80">
              <a:extLst>
                <a:ext uri="{FF2B5EF4-FFF2-40B4-BE49-F238E27FC236}">
                  <a16:creationId xmlns:a16="http://schemas.microsoft.com/office/drawing/2014/main" id="{39A2FE17-39E8-4721-91DF-7424C352142B}"/>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15</xdr:col>
      <xdr:colOff>596228</xdr:colOff>
      <xdr:row>106</xdr:row>
      <xdr:rowOff>102393</xdr:rowOff>
    </xdr:from>
    <xdr:to>
      <xdr:col>16</xdr:col>
      <xdr:colOff>67799</xdr:colOff>
      <xdr:row>108</xdr:row>
      <xdr:rowOff>9479</xdr:rowOff>
    </xdr:to>
    <xdr:grpSp>
      <xdr:nvGrpSpPr>
        <xdr:cNvPr id="65" name="Group 64">
          <a:extLst>
            <a:ext uri="{FF2B5EF4-FFF2-40B4-BE49-F238E27FC236}">
              <a16:creationId xmlns:a16="http://schemas.microsoft.com/office/drawing/2014/main" id="{60A3EA4B-E82A-4D8C-A6F1-9706EE99BDEF}"/>
            </a:ext>
          </a:extLst>
        </xdr:cNvPr>
        <xdr:cNvGrpSpPr>
          <a:grpSpLocks noChangeAspect="1"/>
        </xdr:cNvGrpSpPr>
      </xdr:nvGrpSpPr>
      <xdr:grpSpPr>
        <a:xfrm>
          <a:off x="13512582" y="25469282"/>
          <a:ext cx="363292" cy="369729"/>
          <a:chOff x="5929446" y="4795882"/>
          <a:chExt cx="914400" cy="914400"/>
        </a:xfrm>
      </xdr:grpSpPr>
      <xdr:sp macro="" textlink="">
        <xdr:nvSpPr>
          <xdr:cNvPr id="66" name="Oval 65">
            <a:extLst>
              <a:ext uri="{FF2B5EF4-FFF2-40B4-BE49-F238E27FC236}">
                <a16:creationId xmlns:a16="http://schemas.microsoft.com/office/drawing/2014/main" id="{0D017729-FD9D-446A-AD2D-881E6D734AC4}"/>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67" name="Graphic 96">
            <a:extLst>
              <a:ext uri="{FF2B5EF4-FFF2-40B4-BE49-F238E27FC236}">
                <a16:creationId xmlns:a16="http://schemas.microsoft.com/office/drawing/2014/main" id="{7BAF5702-0FC8-48D0-8751-AA72B8CB782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068046" y="4934482"/>
            <a:ext cx="637200" cy="637200"/>
          </a:xfrm>
          <a:prstGeom prst="rect">
            <a:avLst/>
          </a:prstGeom>
        </xdr:spPr>
      </xdr:pic>
    </xdr:grpSp>
    <xdr:clientData/>
  </xdr:twoCellAnchor>
  <xdr:twoCellAnchor editAs="oneCell">
    <xdr:from>
      <xdr:col>15</xdr:col>
      <xdr:colOff>0</xdr:colOff>
      <xdr:row>97</xdr:row>
      <xdr:rowOff>0</xdr:rowOff>
    </xdr:from>
    <xdr:to>
      <xdr:col>16</xdr:col>
      <xdr:colOff>799390</xdr:colOff>
      <xdr:row>98</xdr:row>
      <xdr:rowOff>174481</xdr:rowOff>
    </xdr:to>
    <xdr:pic>
      <xdr:nvPicPr>
        <xdr:cNvPr id="48" name="Picture 47">
          <a:extLst>
            <a:ext uri="{FF2B5EF4-FFF2-40B4-BE49-F238E27FC236}">
              <a16:creationId xmlns:a16="http://schemas.microsoft.com/office/drawing/2014/main" id="{4CD6B97C-4BCB-411A-AA8E-C8F8B6A3A69D}"/>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532179" y="22778357"/>
          <a:ext cx="1670247" cy="823815"/>
        </a:xfrm>
        <a:prstGeom prst="rect">
          <a:avLst/>
        </a:prstGeom>
      </xdr:spPr>
    </xdr:pic>
    <xdr:clientData/>
  </xdr:twoCellAnchor>
  <xdr:twoCellAnchor editAs="oneCell">
    <xdr:from>
      <xdr:col>15</xdr:col>
      <xdr:colOff>0</xdr:colOff>
      <xdr:row>6</xdr:row>
      <xdr:rowOff>0</xdr:rowOff>
    </xdr:from>
    <xdr:to>
      <xdr:col>16</xdr:col>
      <xdr:colOff>799390</xdr:colOff>
      <xdr:row>7</xdr:row>
      <xdr:rowOff>189722</xdr:rowOff>
    </xdr:to>
    <xdr:pic>
      <xdr:nvPicPr>
        <xdr:cNvPr id="51" name="Picture 50">
          <a:extLst>
            <a:ext uri="{FF2B5EF4-FFF2-40B4-BE49-F238E27FC236}">
              <a16:creationId xmlns:a16="http://schemas.microsoft.com/office/drawing/2014/main" id="{659BF232-412D-46D2-9C50-65D700F7A6DB}"/>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532179" y="1387929"/>
          <a:ext cx="1670247" cy="830164"/>
        </a:xfrm>
        <a:prstGeom prst="rect">
          <a:avLst/>
        </a:prstGeom>
      </xdr:spPr>
    </xdr:pic>
    <xdr:clientData/>
  </xdr:twoCellAnchor>
  <xdr:twoCellAnchor>
    <xdr:from>
      <xdr:col>11</xdr:col>
      <xdr:colOff>9525</xdr:colOff>
      <xdr:row>65</xdr:row>
      <xdr:rowOff>84817</xdr:rowOff>
    </xdr:from>
    <xdr:to>
      <xdr:col>17</xdr:col>
      <xdr:colOff>26670</xdr:colOff>
      <xdr:row>70</xdr:row>
      <xdr:rowOff>67763</xdr:rowOff>
    </xdr:to>
    <xdr:graphicFrame macro="">
      <xdr:nvGraphicFramePr>
        <xdr:cNvPr id="39" name="Chart 56">
          <a:extLst>
            <a:ext uri="{FF2B5EF4-FFF2-40B4-BE49-F238E27FC236}">
              <a16:creationId xmlns:a16="http://schemas.microsoft.com/office/drawing/2014/main" id="{ADAF21EC-0A11-48E8-BBA2-F67E78250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15</xdr:col>
      <xdr:colOff>604316</xdr:colOff>
      <xdr:row>110</xdr:row>
      <xdr:rowOff>79800</xdr:rowOff>
    </xdr:from>
    <xdr:to>
      <xdr:col>16</xdr:col>
      <xdr:colOff>142635</xdr:colOff>
      <xdr:row>112</xdr:row>
      <xdr:rowOff>12381</xdr:rowOff>
    </xdr:to>
    <xdr:pic>
      <xdr:nvPicPr>
        <xdr:cNvPr id="195" name="Picture 194">
          <a:extLst>
            <a:ext uri="{FF2B5EF4-FFF2-40B4-BE49-F238E27FC236}">
              <a16:creationId xmlns:a16="http://schemas.microsoft.com/office/drawing/2014/main" id="{F15CA407-FEE8-406F-A148-38DE8420C5AC}"/>
            </a:ext>
          </a:extLst>
        </xdr:cNvPr>
        <xdr:cNvPicPr>
          <a:picLocks noChangeAspect="1"/>
        </xdr:cNvPicPr>
      </xdr:nvPicPr>
      <xdr:blipFill>
        <a:blip xmlns:r="http://schemas.openxmlformats.org/officeDocument/2006/relationships" r:embed="rId3"/>
        <a:stretch>
          <a:fillRect/>
        </a:stretch>
      </xdr:blipFill>
      <xdr:spPr>
        <a:xfrm>
          <a:off x="12927285" y="25797300"/>
          <a:ext cx="395569" cy="378669"/>
        </a:xfrm>
        <a:prstGeom prst="rect">
          <a:avLst/>
        </a:prstGeom>
      </xdr:spPr>
    </xdr:pic>
    <xdr:clientData/>
  </xdr:twoCellAnchor>
  <xdr:oneCellAnchor>
    <xdr:from>
      <xdr:col>7</xdr:col>
      <xdr:colOff>730265</xdr:colOff>
      <xdr:row>101</xdr:row>
      <xdr:rowOff>170991</xdr:rowOff>
    </xdr:from>
    <xdr:ext cx="310854" cy="215444"/>
    <xdr:sp macro="" textlink="">
      <xdr:nvSpPr>
        <xdr:cNvPr id="6" name="TextBox 5">
          <a:extLst>
            <a:ext uri="{FF2B5EF4-FFF2-40B4-BE49-F238E27FC236}">
              <a16:creationId xmlns:a16="http://schemas.microsoft.com/office/drawing/2014/main" id="{4D5D7169-C221-477C-BF64-079292D61F79}"/>
            </a:ext>
          </a:extLst>
        </xdr:cNvPr>
        <xdr:cNvSpPr txBox="1"/>
      </xdr:nvSpPr>
      <xdr:spPr>
        <a:xfrm>
          <a:off x="6458872" y="24378098"/>
          <a:ext cx="310854"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7</xdr:col>
      <xdr:colOff>753125</xdr:colOff>
      <xdr:row>128</xdr:row>
      <xdr:rowOff>209091</xdr:rowOff>
    </xdr:from>
    <xdr:ext cx="310854" cy="215444"/>
    <xdr:sp macro="" textlink="">
      <xdr:nvSpPr>
        <xdr:cNvPr id="7" name="TextBox 6">
          <a:extLst>
            <a:ext uri="{FF2B5EF4-FFF2-40B4-BE49-F238E27FC236}">
              <a16:creationId xmlns:a16="http://schemas.microsoft.com/office/drawing/2014/main" id="{086002DA-B91A-9AEE-B99E-08C298313A2E}"/>
            </a:ext>
          </a:extLst>
        </xdr:cNvPr>
        <xdr:cNvSpPr txBox="1"/>
      </xdr:nvSpPr>
      <xdr:spPr>
        <a:xfrm>
          <a:off x="6481732" y="30661877"/>
          <a:ext cx="310854"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7</xdr:col>
      <xdr:colOff>734075</xdr:colOff>
      <xdr:row>150</xdr:row>
      <xdr:rowOff>199566</xdr:rowOff>
    </xdr:from>
    <xdr:ext cx="313419" cy="215444"/>
    <xdr:sp macro="" textlink="">
      <xdr:nvSpPr>
        <xdr:cNvPr id="8" name="TextBox 7">
          <a:extLst>
            <a:ext uri="{FF2B5EF4-FFF2-40B4-BE49-F238E27FC236}">
              <a16:creationId xmlns:a16="http://schemas.microsoft.com/office/drawing/2014/main" id="{4BC7C554-74DE-4012-138B-74EF339EE983}"/>
            </a:ext>
          </a:extLst>
        </xdr:cNvPr>
        <xdr:cNvSpPr txBox="1"/>
      </xdr:nvSpPr>
      <xdr:spPr>
        <a:xfrm>
          <a:off x="6462682" y="35972745"/>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8</xdr:col>
      <xdr:colOff>715749</xdr:colOff>
      <xdr:row>30</xdr:row>
      <xdr:rowOff>136557</xdr:rowOff>
    </xdr:from>
    <xdr:ext cx="281295" cy="215444"/>
    <xdr:sp macro="" textlink="">
      <xdr:nvSpPr>
        <xdr:cNvPr id="40" name="TextBox 1">
          <a:extLst>
            <a:ext uri="{FF2B5EF4-FFF2-40B4-BE49-F238E27FC236}">
              <a16:creationId xmlns:a16="http://schemas.microsoft.com/office/drawing/2014/main" id="{AF7A22C1-35D9-F202-E310-387DA3C36FDE}"/>
            </a:ext>
          </a:extLst>
        </xdr:cNvPr>
        <xdr:cNvSpPr txBox="1"/>
      </xdr:nvSpPr>
      <xdr:spPr>
        <a:xfrm>
          <a:off x="7370549" y="7413657"/>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7</xdr:col>
      <xdr:colOff>712428</xdr:colOff>
      <xdr:row>174</xdr:row>
      <xdr:rowOff>188743</xdr:rowOff>
    </xdr:from>
    <xdr:ext cx="313419" cy="215444"/>
    <xdr:sp macro="" textlink="">
      <xdr:nvSpPr>
        <xdr:cNvPr id="4" name="TextBox 3">
          <a:extLst>
            <a:ext uri="{FF2B5EF4-FFF2-40B4-BE49-F238E27FC236}">
              <a16:creationId xmlns:a16="http://schemas.microsoft.com/office/drawing/2014/main" id="{3459E1F6-97D2-367F-4AC3-54B237BB0692}"/>
            </a:ext>
          </a:extLst>
        </xdr:cNvPr>
        <xdr:cNvSpPr txBox="1"/>
      </xdr:nvSpPr>
      <xdr:spPr>
        <a:xfrm>
          <a:off x="6441035" y="41513636"/>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6</xdr:col>
      <xdr:colOff>521803</xdr:colOff>
      <xdr:row>143</xdr:row>
      <xdr:rowOff>192309</xdr:rowOff>
    </xdr:from>
    <xdr:ext cx="281295" cy="215444"/>
    <xdr:sp macro="" textlink="">
      <xdr:nvSpPr>
        <xdr:cNvPr id="10" name="TextBox 9">
          <a:extLst>
            <a:ext uri="{FF2B5EF4-FFF2-40B4-BE49-F238E27FC236}">
              <a16:creationId xmlns:a16="http://schemas.microsoft.com/office/drawing/2014/main" id="{5FA3CCF6-C04D-4099-4454-DC18B36C1BE2}"/>
            </a:ext>
          </a:extLst>
        </xdr:cNvPr>
        <xdr:cNvSpPr txBox="1"/>
      </xdr:nvSpPr>
      <xdr:spPr>
        <a:xfrm>
          <a:off x="5352339" y="34346238"/>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6</xdr:col>
      <xdr:colOff>535410</xdr:colOff>
      <xdr:row>121</xdr:row>
      <xdr:rowOff>121098</xdr:rowOff>
    </xdr:from>
    <xdr:ext cx="281295" cy="215444"/>
    <xdr:sp macro="" textlink="">
      <xdr:nvSpPr>
        <xdr:cNvPr id="11" name="TextBox 10">
          <a:extLst>
            <a:ext uri="{FF2B5EF4-FFF2-40B4-BE49-F238E27FC236}">
              <a16:creationId xmlns:a16="http://schemas.microsoft.com/office/drawing/2014/main" id="{B65BF821-4E10-983F-7595-52012400C200}"/>
            </a:ext>
          </a:extLst>
        </xdr:cNvPr>
        <xdr:cNvSpPr txBox="1"/>
      </xdr:nvSpPr>
      <xdr:spPr>
        <a:xfrm>
          <a:off x="5333629" y="28327004"/>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12</xdr:col>
      <xdr:colOff>55163</xdr:colOff>
      <xdr:row>135</xdr:row>
      <xdr:rowOff>139808</xdr:rowOff>
    </xdr:from>
    <xdr:ext cx="281295" cy="215444"/>
    <xdr:sp macro="" textlink="">
      <xdr:nvSpPr>
        <xdr:cNvPr id="9" name="TextBox 8">
          <a:extLst>
            <a:ext uri="{FF2B5EF4-FFF2-40B4-BE49-F238E27FC236}">
              <a16:creationId xmlns:a16="http://schemas.microsoft.com/office/drawing/2014/main" id="{14EEAF7A-C79C-B99F-B87D-51CE4B75C750}"/>
            </a:ext>
          </a:extLst>
        </xdr:cNvPr>
        <xdr:cNvSpPr txBox="1"/>
      </xdr:nvSpPr>
      <xdr:spPr>
        <a:xfrm>
          <a:off x="10205241" y="31140706"/>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12</xdr:col>
      <xdr:colOff>293288</xdr:colOff>
      <xdr:row>153</xdr:row>
      <xdr:rowOff>202514</xdr:rowOff>
    </xdr:from>
    <xdr:ext cx="313419" cy="215444"/>
    <xdr:sp macro="" textlink="">
      <xdr:nvSpPr>
        <xdr:cNvPr id="12" name="TextBox 11">
          <a:extLst>
            <a:ext uri="{FF2B5EF4-FFF2-40B4-BE49-F238E27FC236}">
              <a16:creationId xmlns:a16="http://schemas.microsoft.com/office/drawing/2014/main" id="{5AA77DED-66A0-4DDD-8888-6B79450461BC}"/>
            </a:ext>
          </a:extLst>
        </xdr:cNvPr>
        <xdr:cNvSpPr txBox="1"/>
      </xdr:nvSpPr>
      <xdr:spPr>
        <a:xfrm>
          <a:off x="10443366" y="35221772"/>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oneCellAnchor>
    <xdr:from>
      <xdr:col>7</xdr:col>
      <xdr:colOff>534588</xdr:colOff>
      <xdr:row>152</xdr:row>
      <xdr:rowOff>164215</xdr:rowOff>
    </xdr:from>
    <xdr:ext cx="313419" cy="215444"/>
    <xdr:sp macro="" textlink="">
      <xdr:nvSpPr>
        <xdr:cNvPr id="13" name="TextBox 12">
          <a:extLst>
            <a:ext uri="{FF2B5EF4-FFF2-40B4-BE49-F238E27FC236}">
              <a16:creationId xmlns:a16="http://schemas.microsoft.com/office/drawing/2014/main" id="{ECDE8136-1A41-439C-BDCF-A08763F880F6}"/>
            </a:ext>
          </a:extLst>
        </xdr:cNvPr>
        <xdr:cNvSpPr txBox="1"/>
      </xdr:nvSpPr>
      <xdr:spPr>
        <a:xfrm>
          <a:off x="6219822" y="34960231"/>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oneCellAnchor>
    <xdr:from>
      <xdr:col>11</xdr:col>
      <xdr:colOff>787596</xdr:colOff>
      <xdr:row>168</xdr:row>
      <xdr:rowOff>169574</xdr:rowOff>
    </xdr:from>
    <xdr:ext cx="313419" cy="215444"/>
    <xdr:sp macro="" textlink="">
      <xdr:nvSpPr>
        <xdr:cNvPr id="14" name="TextBox 13">
          <a:extLst>
            <a:ext uri="{FF2B5EF4-FFF2-40B4-BE49-F238E27FC236}">
              <a16:creationId xmlns:a16="http://schemas.microsoft.com/office/drawing/2014/main" id="{9E2AA26B-F6BE-307F-40DE-D069EBA27A08}"/>
            </a:ext>
          </a:extLst>
        </xdr:cNvPr>
        <xdr:cNvSpPr txBox="1"/>
      </xdr:nvSpPr>
      <xdr:spPr>
        <a:xfrm>
          <a:off x="10044705" y="38537465"/>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(3)</a:t>
          </a:r>
        </a:p>
      </xdr:txBody>
    </xdr:sp>
    <xdr:clientData/>
  </xdr:oneCellAnchor>
  <xdr:oneCellAnchor>
    <xdr:from>
      <xdr:col>11</xdr:col>
      <xdr:colOff>805654</xdr:colOff>
      <xdr:row>175</xdr:row>
      <xdr:rowOff>214223</xdr:rowOff>
    </xdr:from>
    <xdr:ext cx="313419" cy="215444"/>
    <xdr:sp macro="" textlink="">
      <xdr:nvSpPr>
        <xdr:cNvPr id="15" name="TextBox 14">
          <a:extLst>
            <a:ext uri="{FF2B5EF4-FFF2-40B4-BE49-F238E27FC236}">
              <a16:creationId xmlns:a16="http://schemas.microsoft.com/office/drawing/2014/main" id="{B30900FF-96FB-25CC-0683-03E096767F47}"/>
            </a:ext>
          </a:extLst>
        </xdr:cNvPr>
        <xdr:cNvSpPr txBox="1"/>
      </xdr:nvSpPr>
      <xdr:spPr>
        <a:xfrm>
          <a:off x="10062763" y="40144809"/>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(4)</a:t>
          </a:r>
        </a:p>
      </xdr:txBody>
    </xdr:sp>
    <xdr:clientData/>
  </xdr:oneCellAnchor>
  <xdr:oneCellAnchor>
    <xdr:from>
      <xdr:col>7</xdr:col>
      <xdr:colOff>542468</xdr:colOff>
      <xdr:row>103</xdr:row>
      <xdr:rowOff>163592</xdr:rowOff>
    </xdr:from>
    <xdr:ext cx="313419" cy="215444"/>
    <xdr:sp macro="" textlink="">
      <xdr:nvSpPr>
        <xdr:cNvPr id="16" name="TextBox 15">
          <a:extLst>
            <a:ext uri="{FF2B5EF4-FFF2-40B4-BE49-F238E27FC236}">
              <a16:creationId xmlns:a16="http://schemas.microsoft.com/office/drawing/2014/main" id="{B05E584B-509D-4B8A-AC63-B1BAF1481547}"/>
            </a:ext>
          </a:extLst>
        </xdr:cNvPr>
        <xdr:cNvSpPr txBox="1"/>
      </xdr:nvSpPr>
      <xdr:spPr>
        <a:xfrm>
          <a:off x="6271075" y="24833342"/>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201383</xdr:colOff>
      <xdr:row>30</xdr:row>
      <xdr:rowOff>83423</xdr:rowOff>
    </xdr:from>
    <xdr:to>
      <xdr:col>16</xdr:col>
      <xdr:colOff>732883</xdr:colOff>
      <xdr:row>46</xdr:row>
      <xdr:rowOff>25823</xdr:rowOff>
    </xdr:to>
    <xdr:graphicFrame macro="">
      <xdr:nvGraphicFramePr>
        <xdr:cNvPr id="2" name="Chart 55">
          <a:extLst>
            <a:ext uri="{FF2B5EF4-FFF2-40B4-BE49-F238E27FC236}">
              <a16:creationId xmlns:a16="http://schemas.microsoft.com/office/drawing/2014/main" id="{95F0916E-9A02-42A2-A207-39E1753C2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125531</xdr:colOff>
      <xdr:row>50</xdr:row>
      <xdr:rowOff>48779</xdr:rowOff>
    </xdr:from>
    <xdr:to>
      <xdr:col>16</xdr:col>
      <xdr:colOff>808734</xdr:colOff>
      <xdr:row>65</xdr:row>
      <xdr:rowOff>207818</xdr:rowOff>
    </xdr:to>
    <xdr:graphicFrame macro="">
      <xdr:nvGraphicFramePr>
        <xdr:cNvPr id="3" name="Chart 55">
          <a:extLst>
            <a:ext uri="{FF2B5EF4-FFF2-40B4-BE49-F238E27FC236}">
              <a16:creationId xmlns:a16="http://schemas.microsoft.com/office/drawing/2014/main" id="{C6A15A2C-DEF0-47A2-9D7D-48EA06229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196788</xdr:colOff>
      <xdr:row>150</xdr:row>
      <xdr:rowOff>254894</xdr:rowOff>
    </xdr:from>
    <xdr:to>
      <xdr:col>1</xdr:col>
      <xdr:colOff>474918</xdr:colOff>
      <xdr:row>152</xdr:row>
      <xdr:rowOff>25713</xdr:rowOff>
    </xdr:to>
    <xdr:pic>
      <xdr:nvPicPr>
        <xdr:cNvPr id="4" name="Picture 3">
          <a:extLst>
            <a:ext uri="{FF2B5EF4-FFF2-40B4-BE49-F238E27FC236}">
              <a16:creationId xmlns:a16="http://schemas.microsoft.com/office/drawing/2014/main" id="{20418F42-C393-4ACC-A506-194D82CD9196}"/>
            </a:ext>
          </a:extLst>
        </xdr:cNvPr>
        <xdr:cNvPicPr>
          <a:picLocks noChangeAspect="1"/>
        </xdr:cNvPicPr>
      </xdr:nvPicPr>
      <xdr:blipFill>
        <a:blip xmlns:r="http://schemas.openxmlformats.org/officeDocument/2006/relationships" r:embed="rId3"/>
        <a:stretch>
          <a:fillRect/>
        </a:stretch>
      </xdr:blipFill>
      <xdr:spPr>
        <a:xfrm>
          <a:off x="533338" y="35357694"/>
          <a:ext cx="274955" cy="256594"/>
        </a:xfrm>
        <a:prstGeom prst="rect">
          <a:avLst/>
        </a:prstGeom>
      </xdr:spPr>
    </xdr:pic>
    <xdr:clientData/>
  </xdr:twoCellAnchor>
  <xdr:twoCellAnchor editAs="oneCell">
    <xdr:from>
      <xdr:col>1</xdr:col>
      <xdr:colOff>217304</xdr:colOff>
      <xdr:row>149</xdr:row>
      <xdr:rowOff>172408</xdr:rowOff>
    </xdr:from>
    <xdr:to>
      <xdr:col>1</xdr:col>
      <xdr:colOff>591442</xdr:colOff>
      <xdr:row>151</xdr:row>
      <xdr:rowOff>54828</xdr:rowOff>
    </xdr:to>
    <xdr:grpSp>
      <xdr:nvGrpSpPr>
        <xdr:cNvPr id="5" name="Group 4">
          <a:extLst>
            <a:ext uri="{FF2B5EF4-FFF2-40B4-BE49-F238E27FC236}">
              <a16:creationId xmlns:a16="http://schemas.microsoft.com/office/drawing/2014/main" id="{4794FCDA-9694-47BB-8587-A33D146680A8}"/>
            </a:ext>
          </a:extLst>
        </xdr:cNvPr>
        <xdr:cNvGrpSpPr>
          <a:grpSpLocks noChangeAspect="1"/>
        </xdr:cNvGrpSpPr>
      </xdr:nvGrpSpPr>
      <xdr:grpSpPr>
        <a:xfrm>
          <a:off x="560658" y="35482944"/>
          <a:ext cx="370963" cy="345063"/>
          <a:chOff x="5929446" y="4795882"/>
          <a:chExt cx="914400" cy="914400"/>
        </a:xfrm>
      </xdr:grpSpPr>
      <xdr:sp macro="" textlink="">
        <xdr:nvSpPr>
          <xdr:cNvPr id="6" name="Oval 5">
            <a:extLst>
              <a:ext uri="{FF2B5EF4-FFF2-40B4-BE49-F238E27FC236}">
                <a16:creationId xmlns:a16="http://schemas.microsoft.com/office/drawing/2014/main" id="{4F34D66A-1B9C-8E9D-BEAB-DAC0818CF456}"/>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7" name="Graphic 96">
            <a:extLst>
              <a:ext uri="{FF2B5EF4-FFF2-40B4-BE49-F238E27FC236}">
                <a16:creationId xmlns:a16="http://schemas.microsoft.com/office/drawing/2014/main" id="{2B7CBBFB-FD40-F14C-E0D1-2E75B2013A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068046" y="4934482"/>
            <a:ext cx="637200" cy="637200"/>
          </a:xfrm>
          <a:prstGeom prst="rect">
            <a:avLst/>
          </a:prstGeom>
        </xdr:spPr>
      </xdr:pic>
    </xdr:grpSp>
    <xdr:clientData/>
  </xdr:twoCellAnchor>
  <xdr:twoCellAnchor editAs="oneCell">
    <xdr:from>
      <xdr:col>1</xdr:col>
      <xdr:colOff>410521</xdr:colOff>
      <xdr:row>150</xdr:row>
      <xdr:rowOff>106126</xdr:rowOff>
    </xdr:from>
    <xdr:to>
      <xdr:col>1</xdr:col>
      <xdr:colOff>771959</xdr:colOff>
      <xdr:row>151</xdr:row>
      <xdr:rowOff>217132</xdr:rowOff>
    </xdr:to>
    <xdr:grpSp>
      <xdr:nvGrpSpPr>
        <xdr:cNvPr id="8" name="Group 7">
          <a:extLst>
            <a:ext uri="{FF2B5EF4-FFF2-40B4-BE49-F238E27FC236}">
              <a16:creationId xmlns:a16="http://schemas.microsoft.com/office/drawing/2014/main" id="{57D5FD3D-7E5F-4A6B-9BC1-7708C6405768}"/>
            </a:ext>
          </a:extLst>
        </xdr:cNvPr>
        <xdr:cNvGrpSpPr>
          <a:grpSpLocks noChangeAspect="1"/>
        </xdr:cNvGrpSpPr>
      </xdr:nvGrpSpPr>
      <xdr:grpSpPr>
        <a:xfrm>
          <a:off x="747525" y="35644808"/>
          <a:ext cx="361438" cy="348678"/>
          <a:chOff x="5472227" y="5216014"/>
          <a:chExt cx="914400" cy="914400"/>
        </a:xfrm>
      </xdr:grpSpPr>
      <xdr:sp macro="" textlink="">
        <xdr:nvSpPr>
          <xdr:cNvPr id="9" name="Oval 8">
            <a:extLst>
              <a:ext uri="{FF2B5EF4-FFF2-40B4-BE49-F238E27FC236}">
                <a16:creationId xmlns:a16="http://schemas.microsoft.com/office/drawing/2014/main" id="{2A2DDE78-B36C-ED7E-2634-ACE1240A01E4}"/>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10" name="Freeform: Shape 9">
            <a:extLst>
              <a:ext uri="{FF2B5EF4-FFF2-40B4-BE49-F238E27FC236}">
                <a16:creationId xmlns:a16="http://schemas.microsoft.com/office/drawing/2014/main" id="{A1A5C98F-58C8-38EA-2E0C-1D65C8AB7302}"/>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xdr:col>
      <xdr:colOff>294409</xdr:colOff>
      <xdr:row>174</xdr:row>
      <xdr:rowOff>29341</xdr:rowOff>
    </xdr:from>
    <xdr:to>
      <xdr:col>1</xdr:col>
      <xdr:colOff>667654</xdr:colOff>
      <xdr:row>175</xdr:row>
      <xdr:rowOff>164186</xdr:rowOff>
    </xdr:to>
    <xdr:grpSp>
      <xdr:nvGrpSpPr>
        <xdr:cNvPr id="11" name="Group 10">
          <a:extLst>
            <a:ext uri="{FF2B5EF4-FFF2-40B4-BE49-F238E27FC236}">
              <a16:creationId xmlns:a16="http://schemas.microsoft.com/office/drawing/2014/main" id="{68116F22-31A8-4227-8B96-C368C925DE1A}"/>
            </a:ext>
          </a:extLst>
        </xdr:cNvPr>
        <xdr:cNvGrpSpPr>
          <a:grpSpLocks/>
        </xdr:cNvGrpSpPr>
      </xdr:nvGrpSpPr>
      <xdr:grpSpPr>
        <a:xfrm>
          <a:off x="637763" y="41119737"/>
          <a:ext cx="370070" cy="366167"/>
          <a:chOff x="7025492" y="5073082"/>
          <a:chExt cx="914400" cy="914400"/>
        </a:xfrm>
      </xdr:grpSpPr>
      <xdr:sp macro="" textlink="">
        <xdr:nvSpPr>
          <xdr:cNvPr id="12" name="Oval 11">
            <a:extLst>
              <a:ext uri="{FF2B5EF4-FFF2-40B4-BE49-F238E27FC236}">
                <a16:creationId xmlns:a16="http://schemas.microsoft.com/office/drawing/2014/main" id="{1B5DD8DC-386B-3266-4CD4-2CF9317230EB}"/>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13" name="Group 12">
            <a:extLst>
              <a:ext uri="{FF2B5EF4-FFF2-40B4-BE49-F238E27FC236}">
                <a16:creationId xmlns:a16="http://schemas.microsoft.com/office/drawing/2014/main" id="{EFDD0471-6D14-E634-26FB-BB77FB3FF5B4}"/>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14" name="Freeform: Shape 13">
              <a:extLst>
                <a:ext uri="{FF2B5EF4-FFF2-40B4-BE49-F238E27FC236}">
                  <a16:creationId xmlns:a16="http://schemas.microsoft.com/office/drawing/2014/main" id="{43D1949B-5504-2CC6-17FB-091BB9AA73BA}"/>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15" name="Freeform: Shape 14">
              <a:extLst>
                <a:ext uri="{FF2B5EF4-FFF2-40B4-BE49-F238E27FC236}">
                  <a16:creationId xmlns:a16="http://schemas.microsoft.com/office/drawing/2014/main" id="{53675635-4EA9-5C7B-9CE0-6FD934A9465D}"/>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xdr:col>
      <xdr:colOff>303918</xdr:colOff>
      <xdr:row>128</xdr:row>
      <xdr:rowOff>30105</xdr:rowOff>
    </xdr:from>
    <xdr:to>
      <xdr:col>1</xdr:col>
      <xdr:colOff>663730</xdr:colOff>
      <xdr:row>129</xdr:row>
      <xdr:rowOff>123854</xdr:rowOff>
    </xdr:to>
    <xdr:grpSp>
      <xdr:nvGrpSpPr>
        <xdr:cNvPr id="16" name="Group 15">
          <a:extLst>
            <a:ext uri="{FF2B5EF4-FFF2-40B4-BE49-F238E27FC236}">
              <a16:creationId xmlns:a16="http://schemas.microsoft.com/office/drawing/2014/main" id="{6F7ACB03-F77D-4584-9334-56FE4534D7A9}"/>
            </a:ext>
          </a:extLst>
        </xdr:cNvPr>
        <xdr:cNvGrpSpPr>
          <a:grpSpLocks noChangeAspect="1"/>
        </xdr:cNvGrpSpPr>
      </xdr:nvGrpSpPr>
      <xdr:grpSpPr>
        <a:xfrm>
          <a:off x="644097" y="30479716"/>
          <a:ext cx="359812" cy="325070"/>
          <a:chOff x="2627790" y="5073082"/>
          <a:chExt cx="914400" cy="914400"/>
        </a:xfrm>
      </xdr:grpSpPr>
      <xdr:sp macro="" textlink="">
        <xdr:nvSpPr>
          <xdr:cNvPr id="17" name="Oval 16">
            <a:extLst>
              <a:ext uri="{FF2B5EF4-FFF2-40B4-BE49-F238E27FC236}">
                <a16:creationId xmlns:a16="http://schemas.microsoft.com/office/drawing/2014/main" id="{552F642D-D110-E8D3-0DB5-B17018E3ADA4}"/>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18" name="Freeform: Shape 17">
            <a:extLst>
              <a:ext uri="{FF2B5EF4-FFF2-40B4-BE49-F238E27FC236}">
                <a16:creationId xmlns:a16="http://schemas.microsoft.com/office/drawing/2014/main" id="{A2AA3DC9-039E-09E1-03B4-85FFB5B7D458}"/>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oneCellAnchor>
    <xdr:from>
      <xdr:col>16</xdr:col>
      <xdr:colOff>0</xdr:colOff>
      <xdr:row>187</xdr:row>
      <xdr:rowOff>0</xdr:rowOff>
    </xdr:from>
    <xdr:ext cx="102235" cy="231622"/>
    <xdr:sp macro="" textlink="">
      <xdr:nvSpPr>
        <xdr:cNvPr id="19" name="Text Box 82">
          <a:extLst>
            <a:ext uri="{FF2B5EF4-FFF2-40B4-BE49-F238E27FC236}">
              <a16:creationId xmlns:a16="http://schemas.microsoft.com/office/drawing/2014/main" id="{5E8931A8-A152-43E3-A31E-E042950E1DDE}"/>
            </a:ext>
          </a:extLst>
        </xdr:cNvPr>
        <xdr:cNvSpPr txBox="1">
          <a:spLocks noChangeArrowheads="1"/>
        </xdr:cNvSpPr>
      </xdr:nvSpPr>
      <xdr:spPr bwMode="auto">
        <a:xfrm>
          <a:off x="13763625" y="43586400"/>
          <a:ext cx="102235" cy="231622"/>
        </a:xfrm>
        <a:prstGeom prst="rect">
          <a:avLst/>
        </a:prstGeom>
        <a:noFill/>
        <a:ln w="9525">
          <a:noFill/>
          <a:miter lim="800000"/>
          <a:headEnd/>
          <a:tailEnd/>
        </a:ln>
      </xdr:spPr>
    </xdr:sp>
    <xdr:clientData/>
  </xdr:oneCellAnchor>
  <xdr:oneCellAnchor>
    <xdr:from>
      <xdr:col>24</xdr:col>
      <xdr:colOff>880534</xdr:colOff>
      <xdr:row>12</xdr:row>
      <xdr:rowOff>25400</xdr:rowOff>
    </xdr:from>
    <xdr:ext cx="184731" cy="264560"/>
    <xdr:sp macro="" textlink="">
      <xdr:nvSpPr>
        <xdr:cNvPr id="20" name="TextBox 19">
          <a:extLst>
            <a:ext uri="{FF2B5EF4-FFF2-40B4-BE49-F238E27FC236}">
              <a16:creationId xmlns:a16="http://schemas.microsoft.com/office/drawing/2014/main" id="{FDFA5D0F-9F06-4B85-AAA6-999EF99CC97A}"/>
            </a:ext>
          </a:extLst>
        </xdr:cNvPr>
        <xdr:cNvSpPr txBox="1"/>
      </xdr:nvSpPr>
      <xdr:spPr>
        <a:xfrm>
          <a:off x="22133984"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twoCellAnchor>
    <xdr:from>
      <xdr:col>11</xdr:col>
      <xdr:colOff>92188</xdr:colOff>
      <xdr:row>72</xdr:row>
      <xdr:rowOff>137030</xdr:rowOff>
    </xdr:from>
    <xdr:to>
      <xdr:col>14</xdr:col>
      <xdr:colOff>19318</xdr:colOff>
      <xdr:row>82</xdr:row>
      <xdr:rowOff>218138</xdr:rowOff>
    </xdr:to>
    <xdr:graphicFrame macro="">
      <xdr:nvGraphicFramePr>
        <xdr:cNvPr id="21" name="Chart 34">
          <a:extLst>
            <a:ext uri="{FF2B5EF4-FFF2-40B4-BE49-F238E27FC236}">
              <a16:creationId xmlns:a16="http://schemas.microsoft.com/office/drawing/2014/main" id="{E4E29835-17B1-4EDD-9BE6-BE208AE28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11</xdr:col>
      <xdr:colOff>723900</xdr:colOff>
      <xdr:row>109</xdr:row>
      <xdr:rowOff>0</xdr:rowOff>
    </xdr:from>
    <xdr:to>
      <xdr:col>12</xdr:col>
      <xdr:colOff>211749</xdr:colOff>
      <xdr:row>110</xdr:row>
      <xdr:rowOff>121514</xdr:rowOff>
    </xdr:to>
    <xdr:grpSp>
      <xdr:nvGrpSpPr>
        <xdr:cNvPr id="22" name="Group 21">
          <a:extLst>
            <a:ext uri="{FF2B5EF4-FFF2-40B4-BE49-F238E27FC236}">
              <a16:creationId xmlns:a16="http://schemas.microsoft.com/office/drawing/2014/main" id="{444D50BD-A0DD-475F-938E-827F907F1A9B}"/>
            </a:ext>
          </a:extLst>
        </xdr:cNvPr>
        <xdr:cNvGrpSpPr>
          <a:grpSpLocks/>
        </xdr:cNvGrpSpPr>
      </xdr:nvGrpSpPr>
      <xdr:grpSpPr>
        <a:xfrm>
          <a:off x="10044793" y="26057679"/>
          <a:ext cx="385920" cy="356010"/>
          <a:chOff x="2627790" y="5073082"/>
          <a:chExt cx="914400" cy="914400"/>
        </a:xfrm>
      </xdr:grpSpPr>
      <xdr:sp macro="" textlink="">
        <xdr:nvSpPr>
          <xdr:cNvPr id="23" name="Oval 22">
            <a:extLst>
              <a:ext uri="{FF2B5EF4-FFF2-40B4-BE49-F238E27FC236}">
                <a16:creationId xmlns:a16="http://schemas.microsoft.com/office/drawing/2014/main" id="{1AFBBBB5-BB8E-2F75-AA97-F1364FBCE8B4}"/>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24" name="Freeform: Shape 23">
            <a:extLst>
              <a:ext uri="{FF2B5EF4-FFF2-40B4-BE49-F238E27FC236}">
                <a16:creationId xmlns:a16="http://schemas.microsoft.com/office/drawing/2014/main" id="{8027A69F-32ED-4688-51AD-0799CC27C9B2}"/>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xdr:from>
      <xdr:col>14</xdr:col>
      <xdr:colOff>247514</xdr:colOff>
      <xdr:row>72</xdr:row>
      <xdr:rowOff>136070</xdr:rowOff>
    </xdr:from>
    <xdr:to>
      <xdr:col>16</xdr:col>
      <xdr:colOff>629258</xdr:colOff>
      <xdr:row>82</xdr:row>
      <xdr:rowOff>217715</xdr:rowOff>
    </xdr:to>
    <xdr:graphicFrame macro="">
      <xdr:nvGraphicFramePr>
        <xdr:cNvPr id="25" name="Chart 36">
          <a:extLst>
            <a:ext uri="{FF2B5EF4-FFF2-40B4-BE49-F238E27FC236}">
              <a16:creationId xmlns:a16="http://schemas.microsoft.com/office/drawing/2014/main" id="{02FDE26A-69C3-42CF-9DDF-C2DC6E808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20009</xdr:colOff>
      <xdr:row>10</xdr:row>
      <xdr:rowOff>60158</xdr:rowOff>
    </xdr:from>
    <xdr:to>
      <xdr:col>17</xdr:col>
      <xdr:colOff>21167</xdr:colOff>
      <xdr:row>28</xdr:row>
      <xdr:rowOff>154782</xdr:rowOff>
    </xdr:to>
    <xdr:sp macro="" textlink="">
      <xdr:nvSpPr>
        <xdr:cNvPr id="26" name="TextBox 22">
          <a:extLst>
            <a:ext uri="{FF2B5EF4-FFF2-40B4-BE49-F238E27FC236}">
              <a16:creationId xmlns:a16="http://schemas.microsoft.com/office/drawing/2014/main" id="{D76EBE63-E58C-44E3-BA39-D3F9136C2ECC}"/>
            </a:ext>
          </a:extLst>
        </xdr:cNvPr>
        <xdr:cNvSpPr txBox="1"/>
      </xdr:nvSpPr>
      <xdr:spPr>
        <a:xfrm>
          <a:off x="1248734" y="2765258"/>
          <a:ext cx="13431408" cy="4209424"/>
        </a:xfrm>
        <a:prstGeom prst="rect">
          <a:avLst/>
        </a:prstGeom>
        <a:noFill/>
        <a:ln w="6350">
          <a:noFill/>
          <a:miter lim="800000"/>
        </a:ln>
      </xdr:spPr>
      <xdr:txBody>
        <a:bodyPr vertOverflow="clip" horzOverflow="clip" vert="horz" wrap="square" lIns="0" tIns="0" rIns="0" bIns="0" rtlCol="0" anchor="t">
          <a:noAutofit/>
        </a:bodyPr>
        <a:lstStyle/>
        <a:p>
          <a:pPr algn="just">
            <a:lnSpc>
              <a:spcPct val="115000"/>
            </a:lnSpc>
            <a:spcAft>
              <a:spcPts val="600"/>
            </a:spcAft>
            <a:buNone/>
          </a:pPr>
          <a:r>
            <a:rPr lang="pt-PT" sz="970">
              <a:effectLst/>
              <a:latin typeface="FT Base Medium" pitchFamily="2" charset="0"/>
              <a:ea typeface="MS Mincho" panose="02020609040205080304" pitchFamily="49" charset="-128"/>
              <a:cs typeface="Times New Roman" panose="02020603050405020304" pitchFamily="18" charset="0"/>
            </a:rPr>
            <a:t>Em 2025, a EDPR aumentou a sua produção em +11% para ~41 TWh e a capacidade instalada para 20 GW, com adições brutas de 2 GW, suportadas por uma execução firme e um desempenho operacional robusto.</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As adições de capacidade bruta totalizaram +2,0 GW em 2025</a:t>
          </a:r>
          <a:r>
            <a:rPr lang="pt-PT" sz="970">
              <a:effectLst/>
              <a:latin typeface="FT Base Book" pitchFamily="2" charset="0"/>
              <a:ea typeface="MS Mincho" panose="02020609040205080304" pitchFamily="49" charset="-128"/>
              <a:cs typeface="Times New Roman" panose="02020603050405020304" pitchFamily="18" charset="0"/>
            </a:rPr>
            <a:t>, em linha com a </a:t>
          </a:r>
          <a:r>
            <a:rPr lang="pt-PT" sz="970" i="1">
              <a:effectLst/>
              <a:latin typeface="FT Base Book" pitchFamily="2" charset="0"/>
              <a:ea typeface="MS Mincho" panose="02020609040205080304" pitchFamily="49" charset="-128"/>
              <a:cs typeface="Times New Roman" panose="02020603050405020304" pitchFamily="18" charset="0"/>
            </a:rPr>
            <a:t>guidance</a:t>
          </a:r>
          <a:r>
            <a:rPr lang="pt-PT" sz="970">
              <a:effectLst/>
              <a:latin typeface="FT Base Book" pitchFamily="2" charset="0"/>
              <a:ea typeface="MS Mincho" panose="02020609040205080304" pitchFamily="49" charset="-128"/>
              <a:cs typeface="Times New Roman" panose="02020603050405020304" pitchFamily="18" charset="0"/>
            </a:rPr>
            <a:t> mais recente. </a:t>
          </a:r>
          <a:r>
            <a:rPr lang="pt-PT" sz="970">
              <a:effectLst/>
              <a:latin typeface="FT Base Medium" pitchFamily="2" charset="0"/>
              <a:ea typeface="MS Mincho" panose="02020609040205080304" pitchFamily="49" charset="-128"/>
              <a:cs typeface="Times New Roman" panose="02020603050405020304" pitchFamily="18" charset="0"/>
            </a:rPr>
            <a:t>Por região</a:t>
          </a:r>
          <a:r>
            <a:rPr lang="pt-PT" sz="970">
              <a:effectLst/>
              <a:latin typeface="FT Base Book" pitchFamily="2" charset="0"/>
              <a:ea typeface="MS Mincho" panose="02020609040205080304" pitchFamily="49" charset="-128"/>
              <a:cs typeface="Times New Roman" panose="02020603050405020304" pitchFamily="18" charset="0"/>
            </a:rPr>
            <a:t>, a América do Norte representou 55% das adições, seguida por 32% na Europa, 7% em Ásia-Pacífico e 6% na América do Sul. </a:t>
          </a:r>
          <a:r>
            <a:rPr lang="pt-PT" sz="970">
              <a:effectLst/>
              <a:latin typeface="FT Base Medium" pitchFamily="2" charset="0"/>
              <a:ea typeface="MS Mincho" panose="02020609040205080304" pitchFamily="49" charset="-128"/>
              <a:cs typeface="Times New Roman" panose="02020603050405020304" pitchFamily="18" charset="0"/>
            </a:rPr>
            <a:t>Por tecnologia</a:t>
          </a:r>
          <a:r>
            <a:rPr lang="pt-PT" sz="970">
              <a:effectLst/>
              <a:latin typeface="FT Base Book" pitchFamily="2" charset="0"/>
              <a:ea typeface="MS Mincho" panose="02020609040205080304" pitchFamily="49" charset="-128"/>
              <a:cs typeface="Times New Roman" panose="02020603050405020304" pitchFamily="18" charset="0"/>
            </a:rPr>
            <a:t>, 48% das adições dizem respeito a projetos solares, 28% a energia eólica onshore, 17% a armazenamento em baterias (</a:t>
          </a:r>
          <a:r>
            <a:rPr lang="pt-PT" sz="970" i="1">
              <a:effectLst/>
              <a:latin typeface="FT Base Book" pitchFamily="2" charset="0"/>
              <a:ea typeface="MS Mincho" panose="02020609040205080304" pitchFamily="49" charset="-128"/>
              <a:cs typeface="Times New Roman" panose="02020603050405020304" pitchFamily="18" charset="0"/>
            </a:rPr>
            <a:t>BESS</a:t>
          </a:r>
          <a:r>
            <a:rPr lang="pt-PT" sz="970">
              <a:effectLst/>
              <a:latin typeface="FT Base Book" pitchFamily="2" charset="0"/>
              <a:ea typeface="MS Mincho" panose="02020609040205080304" pitchFamily="49" charset="-128"/>
              <a:cs typeface="Times New Roman" panose="02020603050405020304" pitchFamily="18" charset="0"/>
            </a:rPr>
            <a:t>), no qual mais do que se duplicou a capacidade instalada para 0,6 GW, e 6% a eólica offshore (relacionada com o projeto Noirmoutier da OW, em França).</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A evolução da capacidade instalada para 20,4 GW, reflete também o impacto de cinco transações de rotação de ativos </a:t>
          </a:r>
          <a:r>
            <a:rPr lang="pt-PT" sz="970">
              <a:effectLst/>
              <a:latin typeface="FT Base Book" pitchFamily="2" charset="0"/>
              <a:ea typeface="MS Mincho" panose="02020609040205080304" pitchFamily="49" charset="-128"/>
              <a:cs typeface="Times New Roman" panose="02020603050405020304" pitchFamily="18" charset="0"/>
            </a:rPr>
            <a:t>com alienação de 100% do capital, totalizando 0,8 GW: no 2T25, um portefólio solar de 83 MW em Espanha; no 3T25, um portefólio eólico de 121 MW em França e na Bélgica; e no 4T25, dois portefólios solares de 207 MW em Itália e 190 MW em Espanha, e um portefólio eólico de 150 MW na Grécia. Relativamente a esta última transação, uma vez cumpridas as condições precedentes em dezembro, a desconsolidação da capacidade e os ganhos de rotação deverão ser reconhecidos em 4T25, enquanto o encaixe de rotação deverá ser reconhecido em 1T26.</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Book" pitchFamily="2" charset="0"/>
              <a:ea typeface="MS Mincho" panose="02020609040205080304" pitchFamily="49" charset="-128"/>
              <a:cs typeface="Times New Roman" panose="02020603050405020304" pitchFamily="18" charset="0"/>
            </a:rPr>
            <a:t>Adicionalmente, a EDPR concluiu duas transações de venda de uma participação de 49% nos EUA: no 3T25 um portefólio de 392 MW de ativos solares e </a:t>
          </a:r>
          <a:r>
            <a:rPr lang="pt-PT" sz="970" i="1">
              <a:effectLst/>
              <a:latin typeface="FT Base Book" pitchFamily="2" charset="0"/>
              <a:ea typeface="MS Mincho" panose="02020609040205080304" pitchFamily="49" charset="-128"/>
              <a:cs typeface="Times New Roman" panose="02020603050405020304" pitchFamily="18" charset="0"/>
            </a:rPr>
            <a:t>BESS</a:t>
          </a:r>
          <a:r>
            <a:rPr lang="pt-PT" sz="970">
              <a:effectLst/>
              <a:latin typeface="FT Base Book" pitchFamily="2" charset="0"/>
              <a:ea typeface="MS Mincho" panose="02020609040205080304" pitchFamily="49" charset="-128"/>
              <a:cs typeface="Times New Roman" panose="02020603050405020304" pitchFamily="18" charset="0"/>
            </a:rPr>
            <a:t>; e no 4T25, um portfólio de 1,6 GW de ativos eólicos, solares e </a:t>
          </a:r>
          <a:r>
            <a:rPr lang="pt-PT" sz="970" i="1">
              <a:effectLst/>
              <a:latin typeface="FT Base Book" pitchFamily="2" charset="0"/>
              <a:ea typeface="MS Mincho" panose="02020609040205080304" pitchFamily="49" charset="-128"/>
              <a:cs typeface="Times New Roman" panose="02020603050405020304" pitchFamily="18" charset="0"/>
            </a:rPr>
            <a:t>BESS</a:t>
          </a:r>
          <a:r>
            <a:rPr lang="pt-PT" sz="970">
              <a:effectLst/>
              <a:latin typeface="FT Base Book" pitchFamily="2" charset="0"/>
              <a:ea typeface="MS Mincho" panose="02020609040205080304" pitchFamily="49" charset="-128"/>
              <a:cs typeface="Times New Roman" panose="02020603050405020304" pitchFamily="18" charset="0"/>
            </a:rPr>
            <a:t>, sem impactar a capacidade instalada mas com o encaixe de rotação de ativos reconhecidos em 2025. </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A dezembro de 2025, a capacidade em construção totalizava 1,6 GW, apoiando a capacidade prevista para 2026 e anos seguintes</a:t>
          </a:r>
          <a:r>
            <a:rPr lang="pt-PT" sz="970">
              <a:effectLst/>
              <a:latin typeface="FT Base Book" pitchFamily="2" charset="0"/>
              <a:ea typeface="MS Mincho" panose="02020609040205080304" pitchFamily="49" charset="-128"/>
              <a:cs typeface="Times New Roman" panose="02020603050405020304" pitchFamily="18" charset="0"/>
            </a:rPr>
            <a:t>. Por tecnologia, a capacidade em construção inclui 0,7 GW de energia solar, principalmente nos EUA, 0,2 GW de energia eólica onshore, com uma contribuição maior na Europa, 0,3 GW de BESS, principalmente nos EUA, e 0,4 GW de energia eólica offshore, relacionada com os projetos franceses da OW e com o início da construção do BC Wind, na Polónia.</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O índice de geração renovável da EDPR</a:t>
          </a:r>
          <a:r>
            <a:rPr lang="pt-PT" sz="970">
              <a:effectLst/>
              <a:latin typeface="FT Base Book" pitchFamily="2" charset="0"/>
              <a:ea typeface="MS Mincho" panose="02020609040205080304" pitchFamily="49" charset="-128"/>
              <a:cs typeface="Times New Roman" panose="02020603050405020304" pitchFamily="18" charset="0"/>
            </a:rPr>
            <a:t>, que reflete os desvios dos recursos renováveis face à média de longo prazo do Fator de Capacidade Bruta (</a:t>
          </a:r>
          <a:r>
            <a:rPr lang="pt-PT" sz="970" i="1">
              <a:effectLst/>
              <a:latin typeface="FT Base Book" pitchFamily="2" charset="0"/>
              <a:ea typeface="MS Mincho" panose="02020609040205080304" pitchFamily="49" charset="-128"/>
              <a:cs typeface="Times New Roman" panose="02020603050405020304" pitchFamily="18" charset="0"/>
            </a:rPr>
            <a:t>GCF</a:t>
          </a:r>
          <a:r>
            <a:rPr lang="pt-PT" sz="970">
              <a:effectLst/>
              <a:latin typeface="FT Base Book" pitchFamily="2" charset="0"/>
              <a:ea typeface="MS Mincho" panose="02020609040205080304" pitchFamily="49" charset="-128"/>
              <a:cs typeface="Times New Roman" panose="02020603050405020304" pitchFamily="18" charset="0"/>
            </a:rPr>
            <a:t>), </a:t>
          </a:r>
          <a:r>
            <a:rPr lang="pt-PT" sz="970">
              <a:effectLst/>
              <a:latin typeface="FT Base Medium" pitchFamily="2" charset="0"/>
              <a:ea typeface="MS Mincho" panose="02020609040205080304" pitchFamily="49" charset="-128"/>
              <a:cs typeface="Times New Roman" panose="02020603050405020304" pitchFamily="18" charset="0"/>
            </a:rPr>
            <a:t>situou-se em 95% em 2025</a:t>
          </a:r>
          <a:r>
            <a:rPr lang="pt-PT" sz="970">
              <a:effectLst/>
              <a:latin typeface="FT Base Book" pitchFamily="2" charset="0"/>
              <a:ea typeface="MS Mincho" panose="02020609040205080304" pitchFamily="49" charset="-128"/>
              <a:cs typeface="Times New Roman" panose="02020603050405020304" pitchFamily="18" charset="0"/>
            </a:rPr>
            <a:t> (vs. 98% em 2024), devido principalmente ao baixo recurso eólico durante o ano, e 9% abaixo no 4T25. Os recursos renováveis ficaram abaixo da média de longo prazo esperada em todas as regiões, nomeadamente: 5% na América do Norte, 6% na América do Sul e 7% na Europa.</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No geral, a produção de eletricidade da EDPR aumentou +11% em relação ao período homólogo anterior, para 40,6 TWh</a:t>
          </a:r>
          <a:r>
            <a:rPr lang="pt-PT" sz="970">
              <a:effectLst/>
              <a:latin typeface="FT Base Book" pitchFamily="2" charset="0"/>
              <a:ea typeface="MS Mincho" panose="02020609040205080304" pitchFamily="49" charset="-128"/>
              <a:cs typeface="Times New Roman" panose="02020603050405020304" pitchFamily="18" charset="0"/>
            </a:rPr>
            <a:t>, com a América do Norte e a Europa a representarem 57% e 28%, respetivamente. Na sequência do aumento de 0,9 GW na capacidade solar nos últimos 12 meses, a geração solar em grande escala quase duplicou em termos homólogos, passando a representar 24% do total, </a:t>
          </a:r>
          <a:r>
            <a:rPr lang="pt-PT" sz="970">
              <a:effectLst/>
              <a:latin typeface="FT Base Medium" pitchFamily="2" charset="0"/>
              <a:ea typeface="MS Mincho" panose="02020609040205080304" pitchFamily="49" charset="-128"/>
              <a:cs typeface="Times New Roman" panose="02020603050405020304" pitchFamily="18" charset="0"/>
            </a:rPr>
            <a:t>enquanto a eólica continua a ser a principal fonte</a:t>
          </a:r>
          <a:r>
            <a:rPr lang="pt-PT" sz="970">
              <a:effectLst/>
              <a:latin typeface="FT Base Book" pitchFamily="2" charset="0"/>
              <a:ea typeface="MS Mincho" panose="02020609040205080304" pitchFamily="49" charset="-128"/>
              <a:cs typeface="Times New Roman" panose="02020603050405020304" pitchFamily="18" charset="0"/>
            </a:rPr>
            <a:t> </a:t>
          </a:r>
          <a:r>
            <a:rPr lang="pt-PT" sz="970">
              <a:effectLst/>
              <a:latin typeface="FT Base Medium" pitchFamily="2" charset="0"/>
              <a:ea typeface="MS Mincho" panose="02020609040205080304" pitchFamily="49" charset="-128"/>
              <a:cs typeface="Times New Roman" panose="02020603050405020304" pitchFamily="18" charset="0"/>
            </a:rPr>
            <a:t>de produção da EDPR</a:t>
          </a:r>
          <a:r>
            <a:rPr lang="pt-PT" sz="970">
              <a:effectLst/>
              <a:latin typeface="FT Base Book" pitchFamily="2" charset="0"/>
              <a:ea typeface="MS Mincho" panose="02020609040205080304" pitchFamily="49" charset="-128"/>
              <a:cs typeface="Times New Roman" panose="02020603050405020304" pitchFamily="18" charset="0"/>
            </a:rPr>
            <a:t>, contribuindo com 76% do total.</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Na América do Norte, a produção aumentou +16% em relação ao período homólogo anterior</a:t>
          </a:r>
          <a:r>
            <a:rPr lang="pt-PT" sz="970">
              <a:effectLst/>
              <a:latin typeface="FT Base Book" pitchFamily="2" charset="0"/>
              <a:ea typeface="MS Mincho" panose="02020609040205080304" pitchFamily="49" charset="-128"/>
              <a:cs typeface="Times New Roman" panose="02020603050405020304" pitchFamily="18" charset="0"/>
            </a:rPr>
            <a:t>, impulsionada principalmente por novas adições. </a:t>
          </a:r>
          <a:r>
            <a:rPr lang="pt-PT" sz="970">
              <a:effectLst/>
              <a:latin typeface="FT Base Medium" pitchFamily="2" charset="0"/>
              <a:ea typeface="MS Mincho" panose="02020609040205080304" pitchFamily="49" charset="-128"/>
              <a:cs typeface="Times New Roman" panose="02020603050405020304" pitchFamily="18" charset="0"/>
            </a:rPr>
            <a:t>Na Europa</a:t>
          </a:r>
          <a:r>
            <a:rPr lang="pt-PT" sz="970">
              <a:effectLst/>
              <a:latin typeface="FT Base Book" pitchFamily="2" charset="0"/>
              <a:ea typeface="MS Mincho" panose="02020609040205080304" pitchFamily="49" charset="-128"/>
              <a:cs typeface="Times New Roman" panose="02020603050405020304" pitchFamily="18" charset="0"/>
            </a:rPr>
            <a:t>, permaneceu estável, afetada por recursos eólicos abaixo da média e pelo efeito da rotação de ativos, parcialmente compensadas por novas adições. </a:t>
          </a:r>
          <a:r>
            <a:rPr lang="pt-PT" sz="970">
              <a:effectLst/>
              <a:latin typeface="FT Base Medium" pitchFamily="2" charset="0"/>
              <a:ea typeface="MS Mincho" panose="02020609040205080304" pitchFamily="49" charset="-128"/>
              <a:cs typeface="Times New Roman" panose="02020603050405020304" pitchFamily="18" charset="0"/>
            </a:rPr>
            <a:t>Na América do Sul</a:t>
          </a:r>
          <a:r>
            <a:rPr lang="pt-PT" sz="970">
              <a:effectLst/>
              <a:latin typeface="FT Base Book" pitchFamily="2" charset="0"/>
              <a:ea typeface="MS Mincho" panose="02020609040205080304" pitchFamily="49" charset="-128"/>
              <a:cs typeface="Times New Roman" panose="02020603050405020304" pitchFamily="18" charset="0"/>
            </a:rPr>
            <a:t> aumentou +22%, apoiada por melhores condições eólicas e novas adições de capacidade no Brasil. Na </a:t>
          </a:r>
          <a:r>
            <a:rPr lang="pt-PT" sz="970">
              <a:effectLst/>
              <a:latin typeface="FT Base Medium" pitchFamily="2" charset="0"/>
              <a:ea typeface="MS Mincho" panose="02020609040205080304" pitchFamily="49" charset="-128"/>
              <a:cs typeface="Times New Roman" panose="02020603050405020304" pitchFamily="18" charset="0"/>
            </a:rPr>
            <a:t>Ásia-Pacífico</a:t>
          </a:r>
          <a:r>
            <a:rPr lang="pt-PT" sz="970">
              <a:effectLst/>
              <a:latin typeface="FT Base Book" pitchFamily="2" charset="0"/>
              <a:ea typeface="MS Mincho" panose="02020609040205080304" pitchFamily="49" charset="-128"/>
              <a:cs typeface="Times New Roman" panose="02020603050405020304" pitchFamily="18" charset="0"/>
            </a:rPr>
            <a:t> aumentou +9%, na sequência de adições de capacidade solar, representando agora 4% da produção total da EDPR.</a:t>
          </a:r>
          <a:endParaRPr lang="es-ES" sz="970">
            <a:effectLst/>
            <a:latin typeface="FT Base Book" pitchFamily="2" charset="0"/>
            <a:ea typeface="MS Mincho" panose="02020609040205080304" pitchFamily="49" charset="-128"/>
            <a:cs typeface="Times New Roman" panose="02020603050405020304" pitchFamily="18" charset="0"/>
          </a:endParaRPr>
        </a:p>
        <a:p>
          <a:pPr marL="342900" lvl="0" indent="-342900" algn="just">
            <a:lnSpc>
              <a:spcPct val="115000"/>
            </a:lnSpc>
            <a:spcAft>
              <a:spcPts val="600"/>
            </a:spcAft>
            <a:buFont typeface="Symbol" panose="05050102010706020507" pitchFamily="18" charset="2"/>
            <a:buChar char=""/>
            <a:tabLst>
              <a:tab pos="228600" algn="l"/>
            </a:tabLst>
          </a:pPr>
          <a:r>
            <a:rPr lang="pt-PT" sz="970">
              <a:effectLst/>
              <a:latin typeface="FT Base Medium" pitchFamily="2" charset="0"/>
              <a:ea typeface="MS Mincho" panose="02020609040205080304" pitchFamily="49" charset="-128"/>
              <a:cs typeface="Times New Roman" panose="02020603050405020304" pitchFamily="18" charset="0"/>
            </a:rPr>
            <a:t>Os resultados do ano 2025 da EDPR serão divulgados a 25 de fevereiro de 2026</a:t>
          </a:r>
          <a:r>
            <a:rPr lang="pt-PT" sz="970">
              <a:effectLst/>
              <a:latin typeface="FT Base Book" pitchFamily="2" charset="0"/>
              <a:ea typeface="MS Mincho" panose="02020609040205080304" pitchFamily="49" charset="-128"/>
              <a:cs typeface="Times New Roman" panose="02020603050405020304" pitchFamily="18" charset="0"/>
            </a:rPr>
            <a:t>. A chamada de conferência terá lugar no mesmo dia às 16:30 CET | 15:30 Reino Unido/Lisboa.</a:t>
          </a:r>
          <a:endParaRPr lang="es-ES" sz="970">
            <a:effectLst/>
            <a:latin typeface="FT Base Book" pitchFamily="2" charset="0"/>
            <a:ea typeface="MS Mincho" panose="02020609040205080304" pitchFamily="49" charset="-128"/>
            <a:cs typeface="Times New Roman" panose="02020603050405020304" pitchFamily="18" charset="0"/>
          </a:endParaRPr>
        </a:p>
      </xdr:txBody>
    </xdr:sp>
    <xdr:clientData/>
  </xdr:twoCellAnchor>
  <xdr:twoCellAnchor>
    <xdr:from>
      <xdr:col>11</xdr:col>
      <xdr:colOff>1</xdr:colOff>
      <xdr:row>101</xdr:row>
      <xdr:rowOff>225014</xdr:rowOff>
    </xdr:from>
    <xdr:to>
      <xdr:col>17</xdr:col>
      <xdr:colOff>1</xdr:colOff>
      <xdr:row>118</xdr:row>
      <xdr:rowOff>187400</xdr:rowOff>
    </xdr:to>
    <xdr:graphicFrame macro="">
      <xdr:nvGraphicFramePr>
        <xdr:cNvPr id="27" name="Chart 26">
          <a:extLst>
            <a:ext uri="{FF2B5EF4-FFF2-40B4-BE49-F238E27FC236}">
              <a16:creationId xmlns:a16="http://schemas.microsoft.com/office/drawing/2014/main" id="{EFF32CCF-90FE-4C8F-9CE7-2DAE012F9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15</xdr:col>
      <xdr:colOff>106216</xdr:colOff>
      <xdr:row>103</xdr:row>
      <xdr:rowOff>158837</xdr:rowOff>
    </xdr:from>
    <xdr:to>
      <xdr:col>15</xdr:col>
      <xdr:colOff>474766</xdr:colOff>
      <xdr:row>105</xdr:row>
      <xdr:rowOff>65953</xdr:rowOff>
    </xdr:to>
    <xdr:grpSp>
      <xdr:nvGrpSpPr>
        <xdr:cNvPr id="28" name="Group 27">
          <a:extLst>
            <a:ext uri="{FF2B5EF4-FFF2-40B4-BE49-F238E27FC236}">
              <a16:creationId xmlns:a16="http://schemas.microsoft.com/office/drawing/2014/main" id="{84F6B49C-F4AF-47E8-8210-60AE45663736}"/>
            </a:ext>
          </a:extLst>
        </xdr:cNvPr>
        <xdr:cNvGrpSpPr>
          <a:grpSpLocks/>
        </xdr:cNvGrpSpPr>
      </xdr:nvGrpSpPr>
      <xdr:grpSpPr>
        <a:xfrm>
          <a:off x="13016220" y="24831762"/>
          <a:ext cx="371725" cy="369759"/>
          <a:chOff x="5472227" y="5216014"/>
          <a:chExt cx="914400" cy="914400"/>
        </a:xfrm>
      </xdr:grpSpPr>
      <xdr:sp macro="" textlink="">
        <xdr:nvSpPr>
          <xdr:cNvPr id="29" name="Oval 28">
            <a:extLst>
              <a:ext uri="{FF2B5EF4-FFF2-40B4-BE49-F238E27FC236}">
                <a16:creationId xmlns:a16="http://schemas.microsoft.com/office/drawing/2014/main" id="{CFBA4499-2631-3F56-F5E5-6EE803611B72}"/>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30" name="Freeform: Shape 29">
            <a:extLst>
              <a:ext uri="{FF2B5EF4-FFF2-40B4-BE49-F238E27FC236}">
                <a16:creationId xmlns:a16="http://schemas.microsoft.com/office/drawing/2014/main" id="{E8D3DD43-179B-A399-373E-E693FEA515E6}"/>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15</xdr:col>
      <xdr:colOff>656366</xdr:colOff>
      <xdr:row>108</xdr:row>
      <xdr:rowOff>87579</xdr:rowOff>
    </xdr:from>
    <xdr:to>
      <xdr:col>16</xdr:col>
      <xdr:colOff>173968</xdr:colOff>
      <xdr:row>109</xdr:row>
      <xdr:rowOff>209233</xdr:rowOff>
    </xdr:to>
    <xdr:grpSp>
      <xdr:nvGrpSpPr>
        <xdr:cNvPr id="31" name="Group 30">
          <a:extLst>
            <a:ext uri="{FF2B5EF4-FFF2-40B4-BE49-F238E27FC236}">
              <a16:creationId xmlns:a16="http://schemas.microsoft.com/office/drawing/2014/main" id="{E88DE158-FCC5-4DCB-B838-4A3A68AB74DC}"/>
            </a:ext>
          </a:extLst>
        </xdr:cNvPr>
        <xdr:cNvGrpSpPr>
          <a:grpSpLocks/>
        </xdr:cNvGrpSpPr>
      </xdr:nvGrpSpPr>
      <xdr:grpSpPr>
        <a:xfrm>
          <a:off x="13572720" y="25910761"/>
          <a:ext cx="412498" cy="356151"/>
          <a:chOff x="7025492" y="5073082"/>
          <a:chExt cx="914400" cy="914400"/>
        </a:xfrm>
      </xdr:grpSpPr>
      <xdr:sp macro="" textlink="">
        <xdr:nvSpPr>
          <xdr:cNvPr id="32" name="Oval 31">
            <a:extLst>
              <a:ext uri="{FF2B5EF4-FFF2-40B4-BE49-F238E27FC236}">
                <a16:creationId xmlns:a16="http://schemas.microsoft.com/office/drawing/2014/main" id="{EB045A53-56EF-ADDB-AA1A-6EF1E70AA84E}"/>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33" name="Group 32">
            <a:extLst>
              <a:ext uri="{FF2B5EF4-FFF2-40B4-BE49-F238E27FC236}">
                <a16:creationId xmlns:a16="http://schemas.microsoft.com/office/drawing/2014/main" id="{6ED7AFE7-317A-9A9E-F57F-726228E68494}"/>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34" name="Freeform: Shape 33">
              <a:extLst>
                <a:ext uri="{FF2B5EF4-FFF2-40B4-BE49-F238E27FC236}">
                  <a16:creationId xmlns:a16="http://schemas.microsoft.com/office/drawing/2014/main" id="{74CBB8B2-6836-D018-8084-D00AEBD577AA}"/>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35" name="Freeform: Shape 34">
              <a:extLst>
                <a:ext uri="{FF2B5EF4-FFF2-40B4-BE49-F238E27FC236}">
                  <a16:creationId xmlns:a16="http://schemas.microsoft.com/office/drawing/2014/main" id="{D5CABC28-EAB9-EDBF-7E1E-AED6732E53CE}"/>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15</xdr:col>
      <xdr:colOff>599403</xdr:colOff>
      <xdr:row>106</xdr:row>
      <xdr:rowOff>105568</xdr:rowOff>
    </xdr:from>
    <xdr:to>
      <xdr:col>16</xdr:col>
      <xdr:colOff>67799</xdr:colOff>
      <xdr:row>108</xdr:row>
      <xdr:rowOff>9479</xdr:rowOff>
    </xdr:to>
    <xdr:grpSp>
      <xdr:nvGrpSpPr>
        <xdr:cNvPr id="36" name="Group 35">
          <a:extLst>
            <a:ext uri="{FF2B5EF4-FFF2-40B4-BE49-F238E27FC236}">
              <a16:creationId xmlns:a16="http://schemas.microsoft.com/office/drawing/2014/main" id="{FBD10987-0815-484A-BADA-8C54ADEAAC52}"/>
            </a:ext>
          </a:extLst>
        </xdr:cNvPr>
        <xdr:cNvGrpSpPr>
          <a:grpSpLocks noChangeAspect="1"/>
        </xdr:cNvGrpSpPr>
      </xdr:nvGrpSpPr>
      <xdr:grpSpPr>
        <a:xfrm>
          <a:off x="13515757" y="25466107"/>
          <a:ext cx="360117" cy="372904"/>
          <a:chOff x="5929446" y="4795882"/>
          <a:chExt cx="914400" cy="914400"/>
        </a:xfrm>
      </xdr:grpSpPr>
      <xdr:sp macro="" textlink="">
        <xdr:nvSpPr>
          <xdr:cNvPr id="37" name="Oval 36">
            <a:extLst>
              <a:ext uri="{FF2B5EF4-FFF2-40B4-BE49-F238E27FC236}">
                <a16:creationId xmlns:a16="http://schemas.microsoft.com/office/drawing/2014/main" id="{396471E7-7CF1-C05B-753E-5C6ADE0A444A}"/>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38" name="Graphic 96">
            <a:extLst>
              <a:ext uri="{FF2B5EF4-FFF2-40B4-BE49-F238E27FC236}">
                <a16:creationId xmlns:a16="http://schemas.microsoft.com/office/drawing/2014/main" id="{495ED830-0D1B-AC94-2709-D3B7CFA3AB2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068046" y="4934482"/>
            <a:ext cx="637200" cy="637200"/>
          </a:xfrm>
          <a:prstGeom prst="rect">
            <a:avLst/>
          </a:prstGeom>
        </xdr:spPr>
      </xdr:pic>
    </xdr:grpSp>
    <xdr:clientData/>
  </xdr:twoCellAnchor>
  <xdr:twoCellAnchor editAs="oneCell">
    <xdr:from>
      <xdr:col>15</xdr:col>
      <xdr:colOff>0</xdr:colOff>
      <xdr:row>97</xdr:row>
      <xdr:rowOff>0</xdr:rowOff>
    </xdr:from>
    <xdr:to>
      <xdr:col>16</xdr:col>
      <xdr:colOff>799390</xdr:colOff>
      <xdr:row>98</xdr:row>
      <xdr:rowOff>174481</xdr:rowOff>
    </xdr:to>
    <xdr:pic>
      <xdr:nvPicPr>
        <xdr:cNvPr id="39" name="Picture 38">
          <a:extLst>
            <a:ext uri="{FF2B5EF4-FFF2-40B4-BE49-F238E27FC236}">
              <a16:creationId xmlns:a16="http://schemas.microsoft.com/office/drawing/2014/main" id="{F922B7F9-4D11-4871-9A5C-A18F85860613}"/>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868275" y="22593300"/>
          <a:ext cx="1694740" cy="822181"/>
        </a:xfrm>
        <a:prstGeom prst="rect">
          <a:avLst/>
        </a:prstGeom>
      </xdr:spPr>
    </xdr:pic>
    <xdr:clientData/>
  </xdr:twoCellAnchor>
  <xdr:twoCellAnchor editAs="oneCell">
    <xdr:from>
      <xdr:col>15</xdr:col>
      <xdr:colOff>0</xdr:colOff>
      <xdr:row>6</xdr:row>
      <xdr:rowOff>0</xdr:rowOff>
    </xdr:from>
    <xdr:to>
      <xdr:col>16</xdr:col>
      <xdr:colOff>799390</xdr:colOff>
      <xdr:row>7</xdr:row>
      <xdr:rowOff>189722</xdr:rowOff>
    </xdr:to>
    <xdr:pic>
      <xdr:nvPicPr>
        <xdr:cNvPr id="40" name="Picture 39">
          <a:extLst>
            <a:ext uri="{FF2B5EF4-FFF2-40B4-BE49-F238E27FC236}">
              <a16:creationId xmlns:a16="http://schemas.microsoft.com/office/drawing/2014/main" id="{CB2BD491-B9EC-43BE-B4BF-2B6EA3ACBD32}"/>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868275" y="1371600"/>
          <a:ext cx="1694740" cy="837422"/>
        </a:xfrm>
        <a:prstGeom prst="rect">
          <a:avLst/>
        </a:prstGeom>
      </xdr:spPr>
    </xdr:pic>
    <xdr:clientData/>
  </xdr:twoCellAnchor>
  <xdr:twoCellAnchor>
    <xdr:from>
      <xdr:col>11</xdr:col>
      <xdr:colOff>9525</xdr:colOff>
      <xdr:row>65</xdr:row>
      <xdr:rowOff>84817</xdr:rowOff>
    </xdr:from>
    <xdr:to>
      <xdr:col>17</xdr:col>
      <xdr:colOff>26670</xdr:colOff>
      <xdr:row>70</xdr:row>
      <xdr:rowOff>67763</xdr:rowOff>
    </xdr:to>
    <xdr:graphicFrame macro="">
      <xdr:nvGraphicFramePr>
        <xdr:cNvPr id="41" name="Chart 56">
          <a:extLst>
            <a:ext uri="{FF2B5EF4-FFF2-40B4-BE49-F238E27FC236}">
              <a16:creationId xmlns:a16="http://schemas.microsoft.com/office/drawing/2014/main" id="{C1745525-4B9D-443A-9002-4B189502A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15</xdr:col>
      <xdr:colOff>604316</xdr:colOff>
      <xdr:row>110</xdr:row>
      <xdr:rowOff>79800</xdr:rowOff>
    </xdr:from>
    <xdr:to>
      <xdr:col>16</xdr:col>
      <xdr:colOff>145810</xdr:colOff>
      <xdr:row>112</xdr:row>
      <xdr:rowOff>9206</xdr:rowOff>
    </xdr:to>
    <xdr:pic>
      <xdr:nvPicPr>
        <xdr:cNvPr id="42" name="Picture 41">
          <a:extLst>
            <a:ext uri="{FF2B5EF4-FFF2-40B4-BE49-F238E27FC236}">
              <a16:creationId xmlns:a16="http://schemas.microsoft.com/office/drawing/2014/main" id="{B5631466-8EAC-4770-B6AE-E92DD05658A8}"/>
            </a:ext>
          </a:extLst>
        </xdr:cNvPr>
        <xdr:cNvPicPr>
          <a:picLocks noChangeAspect="1"/>
        </xdr:cNvPicPr>
      </xdr:nvPicPr>
      <xdr:blipFill>
        <a:blip xmlns:r="http://schemas.openxmlformats.org/officeDocument/2006/relationships" r:embed="rId3"/>
        <a:stretch>
          <a:fillRect/>
        </a:stretch>
      </xdr:blipFill>
      <xdr:spPr>
        <a:xfrm>
          <a:off x="13469416" y="26067175"/>
          <a:ext cx="436844" cy="386606"/>
        </a:xfrm>
        <a:prstGeom prst="rect">
          <a:avLst/>
        </a:prstGeom>
      </xdr:spPr>
    </xdr:pic>
    <xdr:clientData/>
  </xdr:twoCellAnchor>
  <xdr:oneCellAnchor>
    <xdr:from>
      <xdr:col>7</xdr:col>
      <xdr:colOff>730265</xdr:colOff>
      <xdr:row>101</xdr:row>
      <xdr:rowOff>170991</xdr:rowOff>
    </xdr:from>
    <xdr:ext cx="310854" cy="215444"/>
    <xdr:sp macro="" textlink="">
      <xdr:nvSpPr>
        <xdr:cNvPr id="43" name="TextBox 42">
          <a:extLst>
            <a:ext uri="{FF2B5EF4-FFF2-40B4-BE49-F238E27FC236}">
              <a16:creationId xmlns:a16="http://schemas.microsoft.com/office/drawing/2014/main" id="{7C6EE9C4-827B-418E-8021-4CEF76F9E626}"/>
            </a:ext>
          </a:extLst>
        </xdr:cNvPr>
        <xdr:cNvSpPr txBox="1"/>
      </xdr:nvSpPr>
      <xdr:spPr>
        <a:xfrm>
          <a:off x="6438915" y="24097791"/>
          <a:ext cx="310854"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7</xdr:col>
      <xdr:colOff>753125</xdr:colOff>
      <xdr:row>128</xdr:row>
      <xdr:rowOff>209091</xdr:rowOff>
    </xdr:from>
    <xdr:ext cx="310854" cy="215444"/>
    <xdr:sp macro="" textlink="">
      <xdr:nvSpPr>
        <xdr:cNvPr id="44" name="TextBox 43">
          <a:extLst>
            <a:ext uri="{FF2B5EF4-FFF2-40B4-BE49-F238E27FC236}">
              <a16:creationId xmlns:a16="http://schemas.microsoft.com/office/drawing/2014/main" id="{2A6258E6-9C62-4D16-8618-FE2CF16FE129}"/>
            </a:ext>
          </a:extLst>
        </xdr:cNvPr>
        <xdr:cNvSpPr txBox="1"/>
      </xdr:nvSpPr>
      <xdr:spPr>
        <a:xfrm>
          <a:off x="6455425" y="30308091"/>
          <a:ext cx="310854"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7</xdr:col>
      <xdr:colOff>734075</xdr:colOff>
      <xdr:row>150</xdr:row>
      <xdr:rowOff>199566</xdr:rowOff>
    </xdr:from>
    <xdr:ext cx="313419" cy="215444"/>
    <xdr:sp macro="" textlink="">
      <xdr:nvSpPr>
        <xdr:cNvPr id="45" name="TextBox 44">
          <a:extLst>
            <a:ext uri="{FF2B5EF4-FFF2-40B4-BE49-F238E27FC236}">
              <a16:creationId xmlns:a16="http://schemas.microsoft.com/office/drawing/2014/main" id="{5E29F16D-95D1-4CA1-923C-78C2CA23993E}"/>
            </a:ext>
          </a:extLst>
        </xdr:cNvPr>
        <xdr:cNvSpPr txBox="1"/>
      </xdr:nvSpPr>
      <xdr:spPr>
        <a:xfrm>
          <a:off x="6436375" y="35330941"/>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8</xdr:col>
      <xdr:colOff>715749</xdr:colOff>
      <xdr:row>30</xdr:row>
      <xdr:rowOff>136557</xdr:rowOff>
    </xdr:from>
    <xdr:ext cx="281295" cy="215444"/>
    <xdr:sp macro="" textlink="">
      <xdr:nvSpPr>
        <xdr:cNvPr id="46" name="TextBox 1">
          <a:extLst>
            <a:ext uri="{FF2B5EF4-FFF2-40B4-BE49-F238E27FC236}">
              <a16:creationId xmlns:a16="http://schemas.microsoft.com/office/drawing/2014/main" id="{2F58FBAA-1563-4633-B73E-7A75CFB6A122}"/>
            </a:ext>
          </a:extLst>
        </xdr:cNvPr>
        <xdr:cNvSpPr txBox="1"/>
      </xdr:nvSpPr>
      <xdr:spPr>
        <a:xfrm>
          <a:off x="7313399" y="7416832"/>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7</xdr:col>
      <xdr:colOff>712428</xdr:colOff>
      <xdr:row>174</xdr:row>
      <xdr:rowOff>188743</xdr:rowOff>
    </xdr:from>
    <xdr:ext cx="313419" cy="215444"/>
    <xdr:sp macro="" textlink="">
      <xdr:nvSpPr>
        <xdr:cNvPr id="47" name="TextBox 46">
          <a:extLst>
            <a:ext uri="{FF2B5EF4-FFF2-40B4-BE49-F238E27FC236}">
              <a16:creationId xmlns:a16="http://schemas.microsoft.com/office/drawing/2014/main" id="{4A5D7126-CF89-4512-A3D2-6A15D2538702}"/>
            </a:ext>
          </a:extLst>
        </xdr:cNvPr>
        <xdr:cNvSpPr txBox="1"/>
      </xdr:nvSpPr>
      <xdr:spPr>
        <a:xfrm>
          <a:off x="6421078" y="40803343"/>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(5)</a:t>
          </a:r>
        </a:p>
      </xdr:txBody>
    </xdr:sp>
    <xdr:clientData/>
  </xdr:oneCellAnchor>
  <xdr:oneCellAnchor>
    <xdr:from>
      <xdr:col>6</xdr:col>
      <xdr:colOff>521803</xdr:colOff>
      <xdr:row>143</xdr:row>
      <xdr:rowOff>192309</xdr:rowOff>
    </xdr:from>
    <xdr:ext cx="281295" cy="215444"/>
    <xdr:sp macro="" textlink="">
      <xdr:nvSpPr>
        <xdr:cNvPr id="48" name="TextBox 47">
          <a:extLst>
            <a:ext uri="{FF2B5EF4-FFF2-40B4-BE49-F238E27FC236}">
              <a16:creationId xmlns:a16="http://schemas.microsoft.com/office/drawing/2014/main" id="{FDD69DAB-6F6D-4AA1-914F-508A9C05E9A9}"/>
            </a:ext>
          </a:extLst>
        </xdr:cNvPr>
        <xdr:cNvSpPr txBox="1"/>
      </xdr:nvSpPr>
      <xdr:spPr>
        <a:xfrm>
          <a:off x="5335103" y="33720309"/>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6</xdr:col>
      <xdr:colOff>535410</xdr:colOff>
      <xdr:row>121</xdr:row>
      <xdr:rowOff>121098</xdr:rowOff>
    </xdr:from>
    <xdr:ext cx="281295" cy="215444"/>
    <xdr:sp macro="" textlink="">
      <xdr:nvSpPr>
        <xdr:cNvPr id="49" name="TextBox 48">
          <a:extLst>
            <a:ext uri="{FF2B5EF4-FFF2-40B4-BE49-F238E27FC236}">
              <a16:creationId xmlns:a16="http://schemas.microsoft.com/office/drawing/2014/main" id="{E8AAC234-8661-46FE-812B-AB2373E10515}"/>
            </a:ext>
          </a:extLst>
        </xdr:cNvPr>
        <xdr:cNvSpPr txBox="1"/>
      </xdr:nvSpPr>
      <xdr:spPr>
        <a:xfrm>
          <a:off x="5345535" y="28623073"/>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12</xdr:col>
      <xdr:colOff>55163</xdr:colOff>
      <xdr:row>135</xdr:row>
      <xdr:rowOff>139808</xdr:rowOff>
    </xdr:from>
    <xdr:ext cx="281295" cy="215444"/>
    <xdr:sp macro="" textlink="">
      <xdr:nvSpPr>
        <xdr:cNvPr id="50" name="TextBox 49">
          <a:extLst>
            <a:ext uri="{FF2B5EF4-FFF2-40B4-BE49-F238E27FC236}">
              <a16:creationId xmlns:a16="http://schemas.microsoft.com/office/drawing/2014/main" id="{F7A261CF-C605-49F0-8288-96C921EE2A31}"/>
            </a:ext>
          </a:extLst>
        </xdr:cNvPr>
        <xdr:cNvSpPr txBox="1"/>
      </xdr:nvSpPr>
      <xdr:spPr>
        <a:xfrm>
          <a:off x="10237388" y="31842183"/>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12</xdr:col>
      <xdr:colOff>293288</xdr:colOff>
      <xdr:row>153</xdr:row>
      <xdr:rowOff>202514</xdr:rowOff>
    </xdr:from>
    <xdr:ext cx="313419" cy="215444"/>
    <xdr:sp macro="" textlink="">
      <xdr:nvSpPr>
        <xdr:cNvPr id="51" name="TextBox 50">
          <a:extLst>
            <a:ext uri="{FF2B5EF4-FFF2-40B4-BE49-F238E27FC236}">
              <a16:creationId xmlns:a16="http://schemas.microsoft.com/office/drawing/2014/main" id="{E90B2E3A-DA7F-491E-A0A6-E24FBF55A9EF}"/>
            </a:ext>
          </a:extLst>
        </xdr:cNvPr>
        <xdr:cNvSpPr txBox="1"/>
      </xdr:nvSpPr>
      <xdr:spPr>
        <a:xfrm>
          <a:off x="10478688" y="36013339"/>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oneCellAnchor>
    <xdr:from>
      <xdr:col>7</xdr:col>
      <xdr:colOff>534588</xdr:colOff>
      <xdr:row>152</xdr:row>
      <xdr:rowOff>164215</xdr:rowOff>
    </xdr:from>
    <xdr:ext cx="313419" cy="215444"/>
    <xdr:sp macro="" textlink="">
      <xdr:nvSpPr>
        <xdr:cNvPr id="52" name="TextBox 51">
          <a:extLst>
            <a:ext uri="{FF2B5EF4-FFF2-40B4-BE49-F238E27FC236}">
              <a16:creationId xmlns:a16="http://schemas.microsoft.com/office/drawing/2014/main" id="{A047AB78-CA56-4269-AD29-1D71A2261EBA}"/>
            </a:ext>
          </a:extLst>
        </xdr:cNvPr>
        <xdr:cNvSpPr txBox="1"/>
      </xdr:nvSpPr>
      <xdr:spPr>
        <a:xfrm>
          <a:off x="6240063" y="35746440"/>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oneCellAnchor>
    <xdr:from>
      <xdr:col>11</xdr:col>
      <xdr:colOff>787596</xdr:colOff>
      <xdr:row>168</xdr:row>
      <xdr:rowOff>169574</xdr:rowOff>
    </xdr:from>
    <xdr:ext cx="313419" cy="215444"/>
    <xdr:sp macro="" textlink="">
      <xdr:nvSpPr>
        <xdr:cNvPr id="53" name="TextBox 52">
          <a:extLst>
            <a:ext uri="{FF2B5EF4-FFF2-40B4-BE49-F238E27FC236}">
              <a16:creationId xmlns:a16="http://schemas.microsoft.com/office/drawing/2014/main" id="{84F97D9A-DFE5-4C96-9081-FDADB9031F0E}"/>
            </a:ext>
          </a:extLst>
        </xdr:cNvPr>
        <xdr:cNvSpPr txBox="1"/>
      </xdr:nvSpPr>
      <xdr:spPr>
        <a:xfrm>
          <a:off x="10077646" y="39412574"/>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(3)</a:t>
          </a:r>
        </a:p>
      </xdr:txBody>
    </xdr:sp>
    <xdr:clientData/>
  </xdr:oneCellAnchor>
  <xdr:oneCellAnchor>
    <xdr:from>
      <xdr:col>11</xdr:col>
      <xdr:colOff>805654</xdr:colOff>
      <xdr:row>175</xdr:row>
      <xdr:rowOff>214223</xdr:rowOff>
    </xdr:from>
    <xdr:ext cx="313419" cy="215444"/>
    <xdr:sp macro="" textlink="">
      <xdr:nvSpPr>
        <xdr:cNvPr id="54" name="TextBox 53">
          <a:extLst>
            <a:ext uri="{FF2B5EF4-FFF2-40B4-BE49-F238E27FC236}">
              <a16:creationId xmlns:a16="http://schemas.microsoft.com/office/drawing/2014/main" id="{04E34810-219F-4903-BAEC-2DB3E0E7E42E}"/>
            </a:ext>
          </a:extLst>
        </xdr:cNvPr>
        <xdr:cNvSpPr txBox="1"/>
      </xdr:nvSpPr>
      <xdr:spPr>
        <a:xfrm>
          <a:off x="10095704" y="41060598"/>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(4)</a:t>
          </a:r>
        </a:p>
      </xdr:txBody>
    </xdr:sp>
    <xdr:clientData/>
  </xdr:oneCellAnchor>
  <xdr:oneCellAnchor>
    <xdr:from>
      <xdr:col>7</xdr:col>
      <xdr:colOff>542468</xdr:colOff>
      <xdr:row>103</xdr:row>
      <xdr:rowOff>163592</xdr:rowOff>
    </xdr:from>
    <xdr:ext cx="313419" cy="215444"/>
    <xdr:sp macro="" textlink="">
      <xdr:nvSpPr>
        <xdr:cNvPr id="55" name="TextBox 54">
          <a:extLst>
            <a:ext uri="{FF2B5EF4-FFF2-40B4-BE49-F238E27FC236}">
              <a16:creationId xmlns:a16="http://schemas.microsoft.com/office/drawing/2014/main" id="{BE3B0AF3-2D39-49EB-8143-CB4759C08FDC}"/>
            </a:ext>
          </a:extLst>
        </xdr:cNvPr>
        <xdr:cNvSpPr txBox="1"/>
      </xdr:nvSpPr>
      <xdr:spPr>
        <a:xfrm>
          <a:off x="6251118" y="24544417"/>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187</xdr:row>
      <xdr:rowOff>0</xdr:rowOff>
    </xdr:from>
    <xdr:ext cx="102235" cy="231622"/>
    <xdr:sp macro="" textlink="">
      <xdr:nvSpPr>
        <xdr:cNvPr id="2" name="Text Box 82">
          <a:extLst>
            <a:ext uri="{FF2B5EF4-FFF2-40B4-BE49-F238E27FC236}">
              <a16:creationId xmlns:a16="http://schemas.microsoft.com/office/drawing/2014/main" id="{56748ED5-A7DB-42C7-9940-9389273BF137}"/>
            </a:ext>
          </a:extLst>
        </xdr:cNvPr>
        <xdr:cNvSpPr txBox="1">
          <a:spLocks noChangeArrowheads="1"/>
        </xdr:cNvSpPr>
      </xdr:nvSpPr>
      <xdr:spPr bwMode="auto">
        <a:xfrm>
          <a:off x="13411200" y="44538900"/>
          <a:ext cx="102235" cy="231622"/>
        </a:xfrm>
        <a:prstGeom prst="rect">
          <a:avLst/>
        </a:prstGeom>
        <a:noFill/>
        <a:ln w="9525">
          <a:noFill/>
          <a:miter lim="800000"/>
          <a:headEnd/>
          <a:tailEnd/>
        </a:ln>
      </xdr:spPr>
    </xdr:sp>
    <xdr:clientData/>
  </xdr:oneCellAnchor>
  <xdr:oneCellAnchor>
    <xdr:from>
      <xdr:col>25</xdr:col>
      <xdr:colOff>880534</xdr:colOff>
      <xdr:row>12</xdr:row>
      <xdr:rowOff>25400</xdr:rowOff>
    </xdr:from>
    <xdr:ext cx="184731" cy="264560"/>
    <xdr:sp macro="" textlink="">
      <xdr:nvSpPr>
        <xdr:cNvPr id="4" name="TextBox 3">
          <a:extLst>
            <a:ext uri="{FF2B5EF4-FFF2-40B4-BE49-F238E27FC236}">
              <a16:creationId xmlns:a16="http://schemas.microsoft.com/office/drawing/2014/main" id="{689B7BB3-E4B5-4F44-BB31-FD18D753CC1A}"/>
            </a:ext>
          </a:extLst>
        </xdr:cNvPr>
        <xdr:cNvSpPr txBox="1"/>
      </xdr:nvSpPr>
      <xdr:spPr>
        <a:xfrm>
          <a:off x="21797434" y="331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twoCellAnchor>
    <xdr:from>
      <xdr:col>1</xdr:col>
      <xdr:colOff>409262</xdr:colOff>
      <xdr:row>171</xdr:row>
      <xdr:rowOff>1767</xdr:rowOff>
    </xdr:from>
    <xdr:to>
      <xdr:col>1</xdr:col>
      <xdr:colOff>769262</xdr:colOff>
      <xdr:row>172</xdr:row>
      <xdr:rowOff>44267</xdr:rowOff>
    </xdr:to>
    <xdr:grpSp>
      <xdr:nvGrpSpPr>
        <xdr:cNvPr id="5" name="Group 4">
          <a:extLst>
            <a:ext uri="{FF2B5EF4-FFF2-40B4-BE49-F238E27FC236}">
              <a16:creationId xmlns:a16="http://schemas.microsoft.com/office/drawing/2014/main" id="{4A17403D-2602-43DF-9BBF-C07A0BB5ADEA}"/>
            </a:ext>
          </a:extLst>
        </xdr:cNvPr>
        <xdr:cNvGrpSpPr>
          <a:grpSpLocks/>
        </xdr:cNvGrpSpPr>
      </xdr:nvGrpSpPr>
      <xdr:grpSpPr>
        <a:xfrm>
          <a:off x="1293050" y="41444503"/>
          <a:ext cx="360000" cy="333222"/>
          <a:chOff x="-1602100" y="4499637"/>
          <a:chExt cx="631672" cy="608347"/>
        </a:xfrm>
        <a:solidFill>
          <a:schemeClr val="accent3"/>
        </a:solidFill>
      </xdr:grpSpPr>
      <xdr:sp macro="" textlink="">
        <xdr:nvSpPr>
          <xdr:cNvPr id="6" name="Oval 5">
            <a:extLst>
              <a:ext uri="{FF2B5EF4-FFF2-40B4-BE49-F238E27FC236}">
                <a16:creationId xmlns:a16="http://schemas.microsoft.com/office/drawing/2014/main" id="{4DE8E955-1806-4DA9-A341-862657BA527B}"/>
              </a:ext>
            </a:extLst>
          </xdr:cNvPr>
          <xdr:cNvSpPr>
            <a:spLocks/>
          </xdr:cNvSpPr>
        </xdr:nvSpPr>
        <xdr:spPr>
          <a:xfrm>
            <a:off x="-1602100" y="4499637"/>
            <a:ext cx="631672" cy="601033"/>
          </a:xfrm>
          <a:prstGeom prst="ellipse">
            <a:avLst/>
          </a:prstGeom>
          <a:grp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grpSp>
        <xdr:nvGrpSpPr>
          <xdr:cNvPr id="7" name="Group 6">
            <a:extLst>
              <a:ext uri="{FF2B5EF4-FFF2-40B4-BE49-F238E27FC236}">
                <a16:creationId xmlns:a16="http://schemas.microsoft.com/office/drawing/2014/main" id="{C9B665BF-43C8-48D0-8048-7AAA5AEA4448}"/>
              </a:ext>
            </a:extLst>
          </xdr:cNvPr>
          <xdr:cNvGrpSpPr/>
        </xdr:nvGrpSpPr>
        <xdr:grpSpPr>
          <a:xfrm>
            <a:off x="-1457410" y="4561872"/>
            <a:ext cx="342293" cy="546112"/>
            <a:chOff x="-1457410" y="4561872"/>
            <a:chExt cx="342293" cy="546112"/>
          </a:xfrm>
          <a:grpFill/>
        </xdr:grpSpPr>
        <xdr:pic>
          <xdr:nvPicPr>
            <xdr:cNvPr id="8" name="Graphic 217">
              <a:extLst>
                <a:ext uri="{FF2B5EF4-FFF2-40B4-BE49-F238E27FC236}">
                  <a16:creationId xmlns:a16="http://schemas.microsoft.com/office/drawing/2014/main" id="{BE2B17F0-D28D-49E4-98AF-A3D9442556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02458" y="4875837"/>
              <a:ext cx="232391" cy="232147"/>
            </a:xfrm>
            <a:prstGeom prst="rect">
              <a:avLst/>
            </a:prstGeom>
          </xdr:spPr>
        </xdr:pic>
        <xdr:pic>
          <xdr:nvPicPr>
            <xdr:cNvPr id="9" name="Graphic 218">
              <a:extLst>
                <a:ext uri="{FF2B5EF4-FFF2-40B4-BE49-F238E27FC236}">
                  <a16:creationId xmlns:a16="http://schemas.microsoft.com/office/drawing/2014/main" id="{D8219E2E-3650-45C3-A33F-DBC00CA9478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57410" y="4561872"/>
              <a:ext cx="342293" cy="341933"/>
            </a:xfrm>
            <a:prstGeom prst="rect">
              <a:avLst/>
            </a:prstGeom>
          </xdr:spPr>
        </xdr:pic>
      </xdr:grpSp>
    </xdr:grpSp>
    <xdr:clientData/>
  </xdr:twoCellAnchor>
  <xdr:twoCellAnchor>
    <xdr:from>
      <xdr:col>1</xdr:col>
      <xdr:colOff>409262</xdr:colOff>
      <xdr:row>126</xdr:row>
      <xdr:rowOff>204690</xdr:rowOff>
    </xdr:from>
    <xdr:to>
      <xdr:col>1</xdr:col>
      <xdr:colOff>769262</xdr:colOff>
      <xdr:row>128</xdr:row>
      <xdr:rowOff>18590</xdr:rowOff>
    </xdr:to>
    <xdr:grpSp>
      <xdr:nvGrpSpPr>
        <xdr:cNvPr id="10" name="Group 9">
          <a:extLst>
            <a:ext uri="{FF2B5EF4-FFF2-40B4-BE49-F238E27FC236}">
              <a16:creationId xmlns:a16="http://schemas.microsoft.com/office/drawing/2014/main" id="{FC61456A-5DB8-4440-B05C-FEA4EEE929D2}"/>
            </a:ext>
          </a:extLst>
        </xdr:cNvPr>
        <xdr:cNvGrpSpPr>
          <a:grpSpLocks/>
        </xdr:cNvGrpSpPr>
      </xdr:nvGrpSpPr>
      <xdr:grpSpPr>
        <a:xfrm>
          <a:off x="1293050" y="30969062"/>
          <a:ext cx="360000" cy="356226"/>
          <a:chOff x="-1602098" y="3275163"/>
          <a:chExt cx="621330" cy="609279"/>
        </a:xfrm>
        <a:solidFill>
          <a:schemeClr val="accent2"/>
        </a:solidFill>
      </xdr:grpSpPr>
      <xdr:sp macro="" textlink="">
        <xdr:nvSpPr>
          <xdr:cNvPr id="11" name="Oval 10">
            <a:extLst>
              <a:ext uri="{FF2B5EF4-FFF2-40B4-BE49-F238E27FC236}">
                <a16:creationId xmlns:a16="http://schemas.microsoft.com/office/drawing/2014/main" id="{3CD8F509-1454-4F6E-8B5D-6AF09463455A}"/>
              </a:ext>
            </a:extLst>
          </xdr:cNvPr>
          <xdr:cNvSpPr>
            <a:spLocks/>
          </xdr:cNvSpPr>
        </xdr:nvSpPr>
        <xdr:spPr>
          <a:xfrm>
            <a:off x="-1602098" y="3275163"/>
            <a:ext cx="621330" cy="609279"/>
          </a:xfrm>
          <a:prstGeom prst="ellipse">
            <a:avLst/>
          </a:prstGeom>
          <a:grp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pic>
        <xdr:nvPicPr>
          <xdr:cNvPr id="12" name="Graphic 221">
            <a:extLst>
              <a:ext uri="{FF2B5EF4-FFF2-40B4-BE49-F238E27FC236}">
                <a16:creationId xmlns:a16="http://schemas.microsoft.com/office/drawing/2014/main" id="{6AE737AD-1A28-4C25-A992-6B47560F596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76976" y="3363030"/>
            <a:ext cx="371086" cy="371085"/>
          </a:xfrm>
          <a:prstGeom prst="rect">
            <a:avLst/>
          </a:prstGeom>
        </xdr:spPr>
      </xdr:pic>
    </xdr:grpSp>
    <xdr:clientData/>
  </xdr:twoCellAnchor>
  <xdr:twoCellAnchor>
    <xdr:from>
      <xdr:col>1</xdr:col>
      <xdr:colOff>409262</xdr:colOff>
      <xdr:row>151</xdr:row>
      <xdr:rowOff>9877</xdr:rowOff>
    </xdr:from>
    <xdr:to>
      <xdr:col>1</xdr:col>
      <xdr:colOff>769262</xdr:colOff>
      <xdr:row>152</xdr:row>
      <xdr:rowOff>52377</xdr:rowOff>
    </xdr:to>
    <xdr:grpSp>
      <xdr:nvGrpSpPr>
        <xdr:cNvPr id="13" name="Group 12">
          <a:extLst>
            <a:ext uri="{FF2B5EF4-FFF2-40B4-BE49-F238E27FC236}">
              <a16:creationId xmlns:a16="http://schemas.microsoft.com/office/drawing/2014/main" id="{B9EA7DF4-EC05-4259-9E56-FBE57B1F8261}"/>
            </a:ext>
          </a:extLst>
        </xdr:cNvPr>
        <xdr:cNvGrpSpPr>
          <a:grpSpLocks/>
        </xdr:cNvGrpSpPr>
      </xdr:nvGrpSpPr>
      <xdr:grpSpPr>
        <a:xfrm>
          <a:off x="1293050" y="36686938"/>
          <a:ext cx="360000" cy="348019"/>
          <a:chOff x="-1602100" y="2049132"/>
          <a:chExt cx="628091" cy="594925"/>
        </a:xfrm>
      </xdr:grpSpPr>
      <xdr:sp macro="" textlink="">
        <xdr:nvSpPr>
          <xdr:cNvPr id="14" name="Oval 13">
            <a:extLst>
              <a:ext uri="{FF2B5EF4-FFF2-40B4-BE49-F238E27FC236}">
                <a16:creationId xmlns:a16="http://schemas.microsoft.com/office/drawing/2014/main" id="{01CF6137-8EA8-43CB-8231-994FB4271E75}"/>
              </a:ext>
            </a:extLst>
          </xdr:cNvPr>
          <xdr:cNvSpPr>
            <a:spLocks/>
          </xdr:cNvSpPr>
        </xdr:nvSpPr>
        <xdr:spPr>
          <a:xfrm>
            <a:off x="-1602100" y="2049132"/>
            <a:ext cx="628091" cy="594925"/>
          </a:xfrm>
          <a:prstGeom prst="ellipse">
            <a:avLst/>
          </a:prstGeom>
          <a:solidFill>
            <a:schemeClr val="accent1"/>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pic>
        <xdr:nvPicPr>
          <xdr:cNvPr id="15" name="Graphic 224">
            <a:extLst>
              <a:ext uri="{FF2B5EF4-FFF2-40B4-BE49-F238E27FC236}">
                <a16:creationId xmlns:a16="http://schemas.microsoft.com/office/drawing/2014/main" id="{909135D6-0D40-4F9F-97FD-6C8B051A02F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73596" y="2175150"/>
            <a:ext cx="371085" cy="371084"/>
          </a:xfrm>
          <a:prstGeom prst="rect">
            <a:avLst/>
          </a:prstGeom>
        </xdr:spPr>
      </xdr:pic>
    </xdr:grpSp>
    <xdr:clientData/>
  </xdr:twoCellAnchor>
  <xdr:twoCellAnchor>
    <xdr:from>
      <xdr:col>11</xdr:col>
      <xdr:colOff>83298</xdr:colOff>
      <xdr:row>66</xdr:row>
      <xdr:rowOff>158260</xdr:rowOff>
    </xdr:from>
    <xdr:to>
      <xdr:col>14</xdr:col>
      <xdr:colOff>19318</xdr:colOff>
      <xdr:row>86</xdr:row>
      <xdr:rowOff>9983</xdr:rowOff>
    </xdr:to>
    <xdr:graphicFrame macro="">
      <xdr:nvGraphicFramePr>
        <xdr:cNvPr id="16" name="Chart 15">
          <a:extLst>
            <a:ext uri="{FF2B5EF4-FFF2-40B4-BE49-F238E27FC236}">
              <a16:creationId xmlns:a16="http://schemas.microsoft.com/office/drawing/2014/main" id="{FCF27CD8-B1F4-4800-9DCB-0B7D865C4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538344</xdr:colOff>
      <xdr:row>66</xdr:row>
      <xdr:rowOff>200313</xdr:rowOff>
    </xdr:from>
    <xdr:to>
      <xdr:col>17</xdr:col>
      <xdr:colOff>78713</xdr:colOff>
      <xdr:row>86</xdr:row>
      <xdr:rowOff>45686</xdr:rowOff>
    </xdr:to>
    <xdr:graphicFrame macro="">
      <xdr:nvGraphicFramePr>
        <xdr:cNvPr id="17" name="Chart 16">
          <a:extLst>
            <a:ext uri="{FF2B5EF4-FFF2-40B4-BE49-F238E27FC236}">
              <a16:creationId xmlns:a16="http://schemas.microsoft.com/office/drawing/2014/main" id="{E987B13C-62C5-4781-937F-D0AAD7012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574882</xdr:colOff>
      <xdr:row>109</xdr:row>
      <xdr:rowOff>208323</xdr:rowOff>
    </xdr:from>
    <xdr:to>
      <xdr:col>16</xdr:col>
      <xdr:colOff>96682</xdr:colOff>
      <xdr:row>111</xdr:row>
      <xdr:rowOff>111123</xdr:rowOff>
    </xdr:to>
    <xdr:grpSp>
      <xdr:nvGrpSpPr>
        <xdr:cNvPr id="18" name="Group 17">
          <a:extLst>
            <a:ext uri="{FF2B5EF4-FFF2-40B4-BE49-F238E27FC236}">
              <a16:creationId xmlns:a16="http://schemas.microsoft.com/office/drawing/2014/main" id="{99D1760C-D2CC-4C24-AF02-97988F6E26A2}"/>
            </a:ext>
          </a:extLst>
        </xdr:cNvPr>
        <xdr:cNvGrpSpPr>
          <a:grpSpLocks/>
        </xdr:cNvGrpSpPr>
      </xdr:nvGrpSpPr>
      <xdr:grpSpPr>
        <a:xfrm>
          <a:off x="13787255" y="27004125"/>
          <a:ext cx="399238" cy="366889"/>
          <a:chOff x="-1602100" y="4499637"/>
          <a:chExt cx="631672" cy="608347"/>
        </a:xfrm>
        <a:solidFill>
          <a:schemeClr val="accent3"/>
        </a:solidFill>
      </xdr:grpSpPr>
      <xdr:sp macro="" textlink="">
        <xdr:nvSpPr>
          <xdr:cNvPr id="19" name="Oval 18">
            <a:extLst>
              <a:ext uri="{FF2B5EF4-FFF2-40B4-BE49-F238E27FC236}">
                <a16:creationId xmlns:a16="http://schemas.microsoft.com/office/drawing/2014/main" id="{E92BB67C-C480-4DE7-8CD2-D2D3BF5E7805}"/>
              </a:ext>
            </a:extLst>
          </xdr:cNvPr>
          <xdr:cNvSpPr>
            <a:spLocks/>
          </xdr:cNvSpPr>
        </xdr:nvSpPr>
        <xdr:spPr>
          <a:xfrm>
            <a:off x="-1602100" y="4499637"/>
            <a:ext cx="631672" cy="601033"/>
          </a:xfrm>
          <a:prstGeom prst="ellipse">
            <a:avLst/>
          </a:prstGeom>
          <a:grp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grpSp>
        <xdr:nvGrpSpPr>
          <xdr:cNvPr id="20" name="Group 19">
            <a:extLst>
              <a:ext uri="{FF2B5EF4-FFF2-40B4-BE49-F238E27FC236}">
                <a16:creationId xmlns:a16="http://schemas.microsoft.com/office/drawing/2014/main" id="{FCB51EB4-16D1-447F-AF55-E67624097464}"/>
              </a:ext>
            </a:extLst>
          </xdr:cNvPr>
          <xdr:cNvGrpSpPr/>
        </xdr:nvGrpSpPr>
        <xdr:grpSpPr>
          <a:xfrm>
            <a:off x="-1457410" y="4561872"/>
            <a:ext cx="342293" cy="546112"/>
            <a:chOff x="-1457410" y="4561872"/>
            <a:chExt cx="342293" cy="546112"/>
          </a:xfrm>
          <a:grpFill/>
        </xdr:grpSpPr>
        <xdr:pic>
          <xdr:nvPicPr>
            <xdr:cNvPr id="21" name="Graphic 217">
              <a:extLst>
                <a:ext uri="{FF2B5EF4-FFF2-40B4-BE49-F238E27FC236}">
                  <a16:creationId xmlns:a16="http://schemas.microsoft.com/office/drawing/2014/main" id="{91AC0BDF-E7E3-44EF-9B30-123A5706665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02458" y="4875837"/>
              <a:ext cx="232391" cy="232147"/>
            </a:xfrm>
            <a:prstGeom prst="rect">
              <a:avLst/>
            </a:prstGeom>
          </xdr:spPr>
        </xdr:pic>
        <xdr:pic>
          <xdr:nvPicPr>
            <xdr:cNvPr id="22" name="Graphic 218">
              <a:extLst>
                <a:ext uri="{FF2B5EF4-FFF2-40B4-BE49-F238E27FC236}">
                  <a16:creationId xmlns:a16="http://schemas.microsoft.com/office/drawing/2014/main" id="{D651F4FA-58DB-49E8-8538-D0C434AE178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57410" y="4561872"/>
              <a:ext cx="342293" cy="341933"/>
            </a:xfrm>
            <a:prstGeom prst="rect">
              <a:avLst/>
            </a:prstGeom>
          </xdr:spPr>
        </xdr:pic>
      </xdr:grpSp>
    </xdr:grpSp>
    <xdr:clientData/>
  </xdr:twoCellAnchor>
  <xdr:twoCellAnchor>
    <xdr:from>
      <xdr:col>11</xdr:col>
      <xdr:colOff>654786</xdr:colOff>
      <xdr:row>108</xdr:row>
      <xdr:rowOff>125619</xdr:rowOff>
    </xdr:from>
    <xdr:to>
      <xdr:col>12</xdr:col>
      <xdr:colOff>176586</xdr:colOff>
      <xdr:row>110</xdr:row>
      <xdr:rowOff>28419</xdr:rowOff>
    </xdr:to>
    <xdr:grpSp>
      <xdr:nvGrpSpPr>
        <xdr:cNvPr id="23" name="Group 22">
          <a:extLst>
            <a:ext uri="{FF2B5EF4-FFF2-40B4-BE49-F238E27FC236}">
              <a16:creationId xmlns:a16="http://schemas.microsoft.com/office/drawing/2014/main" id="{27466EEE-C8A5-40B3-8361-0EB8EB170475}"/>
            </a:ext>
          </a:extLst>
        </xdr:cNvPr>
        <xdr:cNvGrpSpPr>
          <a:grpSpLocks/>
        </xdr:cNvGrpSpPr>
      </xdr:nvGrpSpPr>
      <xdr:grpSpPr>
        <a:xfrm>
          <a:off x="10344706" y="26684614"/>
          <a:ext cx="402413" cy="376414"/>
          <a:chOff x="-1602098" y="3275163"/>
          <a:chExt cx="621330" cy="609279"/>
        </a:xfrm>
        <a:solidFill>
          <a:schemeClr val="accent2"/>
        </a:solidFill>
      </xdr:grpSpPr>
      <xdr:sp macro="" textlink="">
        <xdr:nvSpPr>
          <xdr:cNvPr id="24" name="Oval 23">
            <a:extLst>
              <a:ext uri="{FF2B5EF4-FFF2-40B4-BE49-F238E27FC236}">
                <a16:creationId xmlns:a16="http://schemas.microsoft.com/office/drawing/2014/main" id="{268A9D7E-71D1-4530-86FF-CD47FEE1BC35}"/>
              </a:ext>
            </a:extLst>
          </xdr:cNvPr>
          <xdr:cNvSpPr>
            <a:spLocks/>
          </xdr:cNvSpPr>
        </xdr:nvSpPr>
        <xdr:spPr>
          <a:xfrm>
            <a:off x="-1602098" y="3275163"/>
            <a:ext cx="621330" cy="609279"/>
          </a:xfrm>
          <a:prstGeom prst="ellipse">
            <a:avLst/>
          </a:prstGeom>
          <a:grp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pic>
        <xdr:nvPicPr>
          <xdr:cNvPr id="25" name="Graphic 221">
            <a:extLst>
              <a:ext uri="{FF2B5EF4-FFF2-40B4-BE49-F238E27FC236}">
                <a16:creationId xmlns:a16="http://schemas.microsoft.com/office/drawing/2014/main" id="{B93CC6FF-4BD5-4D8C-8D86-87FBC729A8B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76975" y="3367142"/>
            <a:ext cx="371086" cy="371085"/>
          </a:xfrm>
          <a:prstGeom prst="rect">
            <a:avLst/>
          </a:prstGeom>
        </xdr:spPr>
      </xdr:pic>
    </xdr:grpSp>
    <xdr:clientData/>
  </xdr:twoCellAnchor>
  <xdr:twoCellAnchor>
    <xdr:from>
      <xdr:col>15</xdr:col>
      <xdr:colOff>640890</xdr:colOff>
      <xdr:row>107</xdr:row>
      <xdr:rowOff>210887</xdr:rowOff>
    </xdr:from>
    <xdr:to>
      <xdr:col>16</xdr:col>
      <xdr:colOff>162690</xdr:colOff>
      <xdr:row>109</xdr:row>
      <xdr:rowOff>113687</xdr:rowOff>
    </xdr:to>
    <xdr:grpSp>
      <xdr:nvGrpSpPr>
        <xdr:cNvPr id="26" name="Group 25">
          <a:extLst>
            <a:ext uri="{FF2B5EF4-FFF2-40B4-BE49-F238E27FC236}">
              <a16:creationId xmlns:a16="http://schemas.microsoft.com/office/drawing/2014/main" id="{18109A0F-9FA7-42C8-954E-C84C858D8F36}"/>
            </a:ext>
          </a:extLst>
        </xdr:cNvPr>
        <xdr:cNvGrpSpPr>
          <a:grpSpLocks/>
        </xdr:cNvGrpSpPr>
      </xdr:nvGrpSpPr>
      <xdr:grpSpPr>
        <a:xfrm>
          <a:off x="13846913" y="26539425"/>
          <a:ext cx="402413" cy="370064"/>
          <a:chOff x="-1602100" y="2049132"/>
          <a:chExt cx="628091" cy="594925"/>
        </a:xfrm>
      </xdr:grpSpPr>
      <xdr:sp macro="" textlink="">
        <xdr:nvSpPr>
          <xdr:cNvPr id="27" name="Oval 26">
            <a:extLst>
              <a:ext uri="{FF2B5EF4-FFF2-40B4-BE49-F238E27FC236}">
                <a16:creationId xmlns:a16="http://schemas.microsoft.com/office/drawing/2014/main" id="{0C254B36-058D-4F8F-9CF7-277BD2C1072C}"/>
              </a:ext>
            </a:extLst>
          </xdr:cNvPr>
          <xdr:cNvSpPr>
            <a:spLocks/>
          </xdr:cNvSpPr>
        </xdr:nvSpPr>
        <xdr:spPr>
          <a:xfrm>
            <a:off x="-1602100" y="2049132"/>
            <a:ext cx="628091" cy="594925"/>
          </a:xfrm>
          <a:prstGeom prst="ellipse">
            <a:avLst/>
          </a:prstGeom>
          <a:solidFill>
            <a:schemeClr val="accent1"/>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89617" tIns="44808" rIns="89617" bIns="44808"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896200" rtl="0" eaLnBrk="1" fontAlgn="auto" latinLnBrk="0" hangingPunct="1">
              <a:lnSpc>
                <a:spcPct val="100000"/>
              </a:lnSpc>
              <a:spcBef>
                <a:spcPts val="294"/>
              </a:spcBef>
              <a:spcAft>
                <a:spcPts val="294"/>
              </a:spcAft>
              <a:buClrTx/>
              <a:buSzTx/>
              <a:buFontTx/>
              <a:buNone/>
              <a:tabLst/>
              <a:defRPr/>
            </a:pPr>
            <a:endParaRPr kumimoji="0" lang="en-US" sz="1568" b="0" i="0" u="none" strike="noStrike" kern="1200" cap="none" spc="0" normalizeH="0" baseline="0">
              <a:ln>
                <a:noFill/>
              </a:ln>
              <a:solidFill>
                <a:srgbClr val="FFFFFF"/>
              </a:solidFill>
              <a:effectLst/>
              <a:uLnTx/>
              <a:uFillTx/>
              <a:latin typeface="Mulish"/>
              <a:ea typeface="+mn-ea"/>
              <a:cs typeface="+mn-cs"/>
            </a:endParaRPr>
          </a:p>
        </xdr:txBody>
      </xdr:sp>
      <xdr:pic>
        <xdr:nvPicPr>
          <xdr:cNvPr id="28" name="Graphic 224">
            <a:extLst>
              <a:ext uri="{FF2B5EF4-FFF2-40B4-BE49-F238E27FC236}">
                <a16:creationId xmlns:a16="http://schemas.microsoft.com/office/drawing/2014/main" id="{EFA074DF-B4C2-4788-984A-1AD17669DFE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73596" y="2175150"/>
            <a:ext cx="371085" cy="371084"/>
          </a:xfrm>
          <a:prstGeom prst="rect">
            <a:avLst/>
          </a:prstGeom>
        </xdr:spPr>
      </xdr:pic>
    </xdr:grpSp>
    <xdr:clientData/>
  </xdr:twoCellAnchor>
  <xdr:twoCellAnchor>
    <xdr:from>
      <xdr:col>2</xdr:col>
      <xdr:colOff>26832</xdr:colOff>
      <xdr:row>10</xdr:row>
      <xdr:rowOff>140961</xdr:rowOff>
    </xdr:from>
    <xdr:to>
      <xdr:col>17</xdr:col>
      <xdr:colOff>107324</xdr:colOff>
      <xdr:row>27</xdr:row>
      <xdr:rowOff>147163</xdr:rowOff>
    </xdr:to>
    <xdr:sp macro="" textlink="">
      <xdr:nvSpPr>
        <xdr:cNvPr id="29" name="TextBox 28">
          <a:extLst>
            <a:ext uri="{FF2B5EF4-FFF2-40B4-BE49-F238E27FC236}">
              <a16:creationId xmlns:a16="http://schemas.microsoft.com/office/drawing/2014/main" id="{430F8B03-94B6-45AA-960C-61888D978356}"/>
            </a:ext>
          </a:extLst>
        </xdr:cNvPr>
        <xdr:cNvSpPr txBox="1"/>
      </xdr:nvSpPr>
      <xdr:spPr>
        <a:xfrm>
          <a:off x="1703232" y="2969886"/>
          <a:ext cx="12653492" cy="3892402"/>
        </a:xfrm>
        <a:prstGeom prst="rect">
          <a:avLst/>
        </a:prstGeom>
        <a:ln w="6350">
          <a:noFill/>
          <a:miter lim="800000"/>
        </a:ln>
      </xdr:spPr>
      <xdr:txBody>
        <a:bodyPr vertOverflow="clip" horzOverflow="clip" vert="horz" wrap="square" lIns="0" tIns="0" rIns="0" bIns="0" rtlCol="0" anchor="t">
          <a:noAutofit/>
        </a:bodyPr>
        <a:lstStyle/>
        <a:p>
          <a:pPr>
            <a:spcAft>
              <a:spcPts val="1200"/>
            </a:spcAft>
          </a:pPr>
          <a:r>
            <a:rPr lang="pt-PT" sz="1400" b="1">
              <a:effectLst/>
              <a:latin typeface="+mn-lt"/>
              <a:ea typeface="+mn-ea"/>
              <a:cs typeface="+mn-cs"/>
            </a:rPr>
            <a:t>x</a:t>
          </a:r>
        </a:p>
        <a:p>
          <a:pPr>
            <a:spcAft>
              <a:spcPts val="1200"/>
            </a:spcAft>
          </a:pPr>
          <a:r>
            <a:rPr lang="pt-PT" sz="1400" b="1">
              <a:effectLst/>
              <a:latin typeface="+mn-lt"/>
              <a:ea typeface="+mn-ea"/>
              <a:cs typeface="+mn-cs"/>
            </a:rPr>
            <a:t>x</a:t>
          </a:r>
        </a:p>
        <a:p>
          <a:pPr>
            <a:spcAft>
              <a:spcPts val="1200"/>
            </a:spcAft>
          </a:pPr>
          <a:r>
            <a:rPr lang="pt-PT" sz="1400" b="1">
              <a:effectLst/>
              <a:latin typeface="+mn-lt"/>
              <a:ea typeface="+mn-ea"/>
              <a:cs typeface="+mn-cs"/>
            </a:rPr>
            <a:t>x</a:t>
          </a:r>
        </a:p>
        <a:p>
          <a:pPr>
            <a:spcAft>
              <a:spcPts val="1200"/>
            </a:spcAft>
          </a:pPr>
          <a:r>
            <a:rPr lang="pt-PT" sz="1400" b="1">
              <a:effectLst/>
              <a:latin typeface="+mn-lt"/>
              <a:ea typeface="+mn-ea"/>
              <a:cs typeface="+mn-cs"/>
            </a:rPr>
            <a:t>x</a:t>
          </a:r>
          <a:endParaRPr lang="es-ES" sz="1400">
            <a:effectLst/>
            <a:latin typeface="+mn-lt"/>
            <a:ea typeface="+mn-ea"/>
            <a:cs typeface="+mn-cs"/>
          </a:endParaRPr>
        </a:p>
        <a:p>
          <a:pPr lvl="0">
            <a:spcAft>
              <a:spcPts val="600"/>
            </a:spcAft>
          </a:pPr>
          <a:endParaRPr lang="en-GB" sz="1400" b="1">
            <a:effectLst/>
            <a:latin typeface="+mn-lt"/>
            <a:ea typeface="+mn-ea"/>
            <a:cs typeface="+mn-cs"/>
          </a:endParaRPr>
        </a:p>
      </xdr:txBody>
    </xdr:sp>
    <xdr:clientData/>
  </xdr:twoCellAnchor>
  <xdr:twoCellAnchor>
    <xdr:from>
      <xdr:col>10</xdr:col>
      <xdr:colOff>835867</xdr:colOff>
      <xdr:row>27</xdr:row>
      <xdr:rowOff>252707</xdr:rowOff>
    </xdr:from>
    <xdr:to>
      <xdr:col>16</xdr:col>
      <xdr:colOff>835866</xdr:colOff>
      <xdr:row>44</xdr:row>
      <xdr:rowOff>31545</xdr:rowOff>
    </xdr:to>
    <xdr:graphicFrame macro="">
      <xdr:nvGraphicFramePr>
        <xdr:cNvPr id="30" name="Chart 29">
          <a:extLst>
            <a:ext uri="{FF2B5EF4-FFF2-40B4-BE49-F238E27FC236}">
              <a16:creationId xmlns:a16="http://schemas.microsoft.com/office/drawing/2014/main" id="{A8C5A3F6-DCE9-43D8-93CF-025413060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46</xdr:row>
      <xdr:rowOff>291583</xdr:rowOff>
    </xdr:from>
    <xdr:to>
      <xdr:col>17</xdr:col>
      <xdr:colOff>0</xdr:colOff>
      <xdr:row>62</xdr:row>
      <xdr:rowOff>213827</xdr:rowOff>
    </xdr:to>
    <xdr:graphicFrame macro="">
      <xdr:nvGraphicFramePr>
        <xdr:cNvPr id="31" name="Chart 30">
          <a:extLst>
            <a:ext uri="{FF2B5EF4-FFF2-40B4-BE49-F238E27FC236}">
              <a16:creationId xmlns:a16="http://schemas.microsoft.com/office/drawing/2014/main" id="{EFC3FF74-F0FD-4E67-B120-CAAD56E86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xdr:colOff>
      <xdr:row>101</xdr:row>
      <xdr:rowOff>127001</xdr:rowOff>
    </xdr:from>
    <xdr:to>
      <xdr:col>17</xdr:col>
      <xdr:colOff>1</xdr:colOff>
      <xdr:row>118</xdr:row>
      <xdr:rowOff>38101</xdr:rowOff>
    </xdr:to>
    <xdr:graphicFrame macro="">
      <xdr:nvGraphicFramePr>
        <xdr:cNvPr id="32" name="Chart 31">
          <a:extLst>
            <a:ext uri="{FF2B5EF4-FFF2-40B4-BE49-F238E27FC236}">
              <a16:creationId xmlns:a16="http://schemas.microsoft.com/office/drawing/2014/main" id="{547130BA-867F-4C63-9EF7-BE725DAFC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558800</xdr:colOff>
      <xdr:row>97</xdr:row>
      <xdr:rowOff>50800</xdr:rowOff>
    </xdr:from>
    <xdr:to>
      <xdr:col>16</xdr:col>
      <xdr:colOff>832587</xdr:colOff>
      <xdr:row>98</xdr:row>
      <xdr:rowOff>28059</xdr:rowOff>
    </xdr:to>
    <xdr:grpSp>
      <xdr:nvGrpSpPr>
        <xdr:cNvPr id="33" name="Group 32">
          <a:extLst>
            <a:ext uri="{FF2B5EF4-FFF2-40B4-BE49-F238E27FC236}">
              <a16:creationId xmlns:a16="http://schemas.microsoft.com/office/drawing/2014/main" id="{5BEF37EC-7D59-445A-B14E-B648E41875EA}"/>
            </a:ext>
          </a:extLst>
        </xdr:cNvPr>
        <xdr:cNvGrpSpPr>
          <a:grpSpLocks noChangeAspect="1"/>
        </xdr:cNvGrpSpPr>
      </xdr:nvGrpSpPr>
      <xdr:grpSpPr>
        <a:xfrm>
          <a:off x="12009947" y="23518663"/>
          <a:ext cx="2909276" cy="630590"/>
          <a:chOff x="7161992" y="-2400855"/>
          <a:chExt cx="2783938" cy="604668"/>
        </a:xfrm>
        <a:solidFill>
          <a:schemeClr val="tx2"/>
        </a:solidFill>
      </xdr:grpSpPr>
      <xdr:pic>
        <xdr:nvPicPr>
          <xdr:cNvPr id="34" name="Graphic 15">
            <a:extLst>
              <a:ext uri="{FF2B5EF4-FFF2-40B4-BE49-F238E27FC236}">
                <a16:creationId xmlns:a16="http://schemas.microsoft.com/office/drawing/2014/main" id="{8DA825FD-E274-4EFF-8E51-D7CCBD2D6E64}"/>
              </a:ext>
            </a:extLst>
          </xdr:cNvPr>
          <xdr:cNvPicPr>
            <a:picLocks noChangeAspect="1"/>
          </xdr:cNvPicPr>
        </xdr:nvPicPr>
        <xdr:blipFill rotWithShape="1">
          <a:blip xmlns:r="http://schemas.openxmlformats.org/officeDocument/2006/relationships" r:embed="rId14">
            <a:extLst>
              <a:ext uri="{96DAC541-7B7A-43D3-8B79-37D633B846F1}">
                <asvg:svgBlip xmlns:asvg="http://schemas.microsoft.com/office/drawing/2016/SVG/main" r:embed="rId15"/>
              </a:ext>
            </a:extLst>
          </a:blip>
          <a:srcRect l="30999" t="-3024" r="30081" b="50096"/>
          <a:stretch/>
        </xdr:blipFill>
        <xdr:spPr>
          <a:xfrm>
            <a:off x="7161992" y="-2400855"/>
            <a:ext cx="870722" cy="604668"/>
          </a:xfrm>
          <a:prstGeom prst="rect">
            <a:avLst/>
          </a:prstGeom>
        </xdr:spPr>
      </xdr:pic>
      <xdr:pic>
        <xdr:nvPicPr>
          <xdr:cNvPr id="35" name="Graphic 16">
            <a:extLst>
              <a:ext uri="{FF2B5EF4-FFF2-40B4-BE49-F238E27FC236}">
                <a16:creationId xmlns:a16="http://schemas.microsoft.com/office/drawing/2014/main" id="{2B52E3EC-22C4-4E0B-A75B-C9759F65A2F9}"/>
              </a:ext>
            </a:extLst>
          </xdr:cNvPr>
          <xdr:cNvPicPr>
            <a:picLocks noChangeAspect="1"/>
          </xdr:cNvPicPr>
        </xdr:nvPicPr>
        <xdr:blipFill rotWithShape="1">
          <a:blip xmlns:r="http://schemas.openxmlformats.org/officeDocument/2006/relationships" r:embed="rId14">
            <a:extLst>
              <a:ext uri="{96DAC541-7B7A-43D3-8B79-37D633B846F1}">
                <asvg:svgBlip xmlns:asvg="http://schemas.microsoft.com/office/drawing/2016/SVG/main" r:embed="rId15"/>
              </a:ext>
            </a:extLst>
          </a:blip>
          <a:srcRect t="56031" b="-1"/>
          <a:stretch/>
        </xdr:blipFill>
        <xdr:spPr>
          <a:xfrm>
            <a:off x="8081032" y="-2342207"/>
            <a:ext cx="1864898" cy="418702"/>
          </a:xfrm>
          <a:prstGeom prst="rect">
            <a:avLst/>
          </a:prstGeom>
        </xdr:spPr>
      </xdr:pic>
    </xdr:grpSp>
    <xdr:clientData/>
  </xdr:twoCellAnchor>
  <xdr:twoCellAnchor>
    <xdr:from>
      <xdr:col>13</xdr:col>
      <xdr:colOff>558800</xdr:colOff>
      <xdr:row>6</xdr:row>
      <xdr:rowOff>50800</xdr:rowOff>
    </xdr:from>
    <xdr:to>
      <xdr:col>16</xdr:col>
      <xdr:colOff>832587</xdr:colOff>
      <xdr:row>7</xdr:row>
      <xdr:rowOff>28059</xdr:rowOff>
    </xdr:to>
    <xdr:grpSp>
      <xdr:nvGrpSpPr>
        <xdr:cNvPr id="36" name="Group 35">
          <a:extLst>
            <a:ext uri="{FF2B5EF4-FFF2-40B4-BE49-F238E27FC236}">
              <a16:creationId xmlns:a16="http://schemas.microsoft.com/office/drawing/2014/main" id="{89F7BA26-BEA5-4993-B8E2-A4872DE17791}"/>
            </a:ext>
          </a:extLst>
        </xdr:cNvPr>
        <xdr:cNvGrpSpPr>
          <a:grpSpLocks noChangeAspect="1"/>
        </xdr:cNvGrpSpPr>
      </xdr:nvGrpSpPr>
      <xdr:grpSpPr>
        <a:xfrm>
          <a:off x="12009947" y="1449417"/>
          <a:ext cx="2909276" cy="630591"/>
          <a:chOff x="7161992" y="-2400855"/>
          <a:chExt cx="2783938" cy="604668"/>
        </a:xfrm>
        <a:solidFill>
          <a:schemeClr val="tx2"/>
        </a:solidFill>
      </xdr:grpSpPr>
      <xdr:pic>
        <xdr:nvPicPr>
          <xdr:cNvPr id="37" name="Graphic 15">
            <a:extLst>
              <a:ext uri="{FF2B5EF4-FFF2-40B4-BE49-F238E27FC236}">
                <a16:creationId xmlns:a16="http://schemas.microsoft.com/office/drawing/2014/main" id="{61F7110D-B3BF-4289-B960-59CC65F78A3A}"/>
              </a:ext>
            </a:extLst>
          </xdr:cNvPr>
          <xdr:cNvPicPr>
            <a:picLocks noChangeAspect="1"/>
          </xdr:cNvPicPr>
        </xdr:nvPicPr>
        <xdr:blipFill rotWithShape="1">
          <a:blip xmlns:r="http://schemas.openxmlformats.org/officeDocument/2006/relationships" r:embed="rId14">
            <a:extLst>
              <a:ext uri="{96DAC541-7B7A-43D3-8B79-37D633B846F1}">
                <asvg:svgBlip xmlns:asvg="http://schemas.microsoft.com/office/drawing/2016/SVG/main" r:embed="rId15"/>
              </a:ext>
            </a:extLst>
          </a:blip>
          <a:srcRect l="30999" t="-3024" r="30081" b="50096"/>
          <a:stretch/>
        </xdr:blipFill>
        <xdr:spPr>
          <a:xfrm>
            <a:off x="7161992" y="-2400855"/>
            <a:ext cx="870722" cy="604668"/>
          </a:xfrm>
          <a:prstGeom prst="rect">
            <a:avLst/>
          </a:prstGeom>
        </xdr:spPr>
      </xdr:pic>
      <xdr:pic>
        <xdr:nvPicPr>
          <xdr:cNvPr id="38" name="Graphic 16">
            <a:extLst>
              <a:ext uri="{FF2B5EF4-FFF2-40B4-BE49-F238E27FC236}">
                <a16:creationId xmlns:a16="http://schemas.microsoft.com/office/drawing/2014/main" id="{5E6E178C-EE4A-4756-93F6-31B5C19ADE94}"/>
              </a:ext>
            </a:extLst>
          </xdr:cNvPr>
          <xdr:cNvPicPr>
            <a:picLocks noChangeAspect="1"/>
          </xdr:cNvPicPr>
        </xdr:nvPicPr>
        <xdr:blipFill rotWithShape="1">
          <a:blip xmlns:r="http://schemas.openxmlformats.org/officeDocument/2006/relationships" r:embed="rId14">
            <a:extLst>
              <a:ext uri="{96DAC541-7B7A-43D3-8B79-37D633B846F1}">
                <asvg:svgBlip xmlns:asvg="http://schemas.microsoft.com/office/drawing/2016/SVG/main" r:embed="rId15"/>
              </a:ext>
            </a:extLst>
          </a:blip>
          <a:srcRect t="56031" b="-1"/>
          <a:stretch/>
        </xdr:blipFill>
        <xdr:spPr>
          <a:xfrm>
            <a:off x="8081032" y="-2342207"/>
            <a:ext cx="1864898" cy="41870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184786</xdr:colOff>
      <xdr:row>49</xdr:row>
      <xdr:rowOff>115</xdr:rowOff>
    </xdr:from>
    <xdr:to>
      <xdr:col>17</xdr:col>
      <xdr:colOff>144328</xdr:colOff>
      <xdr:row>60</xdr:row>
      <xdr:rowOff>75926</xdr:rowOff>
    </xdr:to>
    <xdr:graphicFrame macro="">
      <xdr:nvGraphicFramePr>
        <xdr:cNvPr id="2" name="Chart 56">
          <a:extLst>
            <a:ext uri="{FF2B5EF4-FFF2-40B4-BE49-F238E27FC236}">
              <a16:creationId xmlns:a16="http://schemas.microsoft.com/office/drawing/2014/main" id="{85FC0AD4-1486-42C9-BE85-090C77B7B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196788</xdr:colOff>
      <xdr:row>150</xdr:row>
      <xdr:rowOff>254894</xdr:rowOff>
    </xdr:from>
    <xdr:to>
      <xdr:col>1</xdr:col>
      <xdr:colOff>474918</xdr:colOff>
      <xdr:row>152</xdr:row>
      <xdr:rowOff>28253</xdr:rowOff>
    </xdr:to>
    <xdr:pic>
      <xdr:nvPicPr>
        <xdr:cNvPr id="3" name="Picture 2">
          <a:extLst>
            <a:ext uri="{FF2B5EF4-FFF2-40B4-BE49-F238E27FC236}">
              <a16:creationId xmlns:a16="http://schemas.microsoft.com/office/drawing/2014/main" id="{25737988-731A-4C71-8D1B-0095C96345D9}"/>
            </a:ext>
          </a:extLst>
        </xdr:cNvPr>
        <xdr:cNvPicPr>
          <a:picLocks noChangeAspect="1"/>
        </xdr:cNvPicPr>
      </xdr:nvPicPr>
      <xdr:blipFill>
        <a:blip xmlns:r="http://schemas.openxmlformats.org/officeDocument/2006/relationships" r:embed="rId2"/>
        <a:stretch>
          <a:fillRect/>
        </a:stretch>
      </xdr:blipFill>
      <xdr:spPr>
        <a:xfrm>
          <a:off x="539688" y="35522794"/>
          <a:ext cx="278130" cy="255959"/>
        </a:xfrm>
        <a:prstGeom prst="rect">
          <a:avLst/>
        </a:prstGeom>
      </xdr:spPr>
    </xdr:pic>
    <xdr:clientData/>
  </xdr:twoCellAnchor>
  <xdr:twoCellAnchor editAs="oneCell">
    <xdr:from>
      <xdr:col>1</xdr:col>
      <xdr:colOff>220479</xdr:colOff>
      <xdr:row>149</xdr:row>
      <xdr:rowOff>172408</xdr:rowOff>
    </xdr:from>
    <xdr:to>
      <xdr:col>1</xdr:col>
      <xdr:colOff>588267</xdr:colOff>
      <xdr:row>151</xdr:row>
      <xdr:rowOff>54827</xdr:rowOff>
    </xdr:to>
    <xdr:grpSp>
      <xdr:nvGrpSpPr>
        <xdr:cNvPr id="4" name="Group 3">
          <a:extLst>
            <a:ext uri="{FF2B5EF4-FFF2-40B4-BE49-F238E27FC236}">
              <a16:creationId xmlns:a16="http://schemas.microsoft.com/office/drawing/2014/main" id="{3F04B785-0041-4DE9-B590-0B7B6D63E9B8}"/>
            </a:ext>
          </a:extLst>
        </xdr:cNvPr>
        <xdr:cNvGrpSpPr>
          <a:grpSpLocks noChangeAspect="1"/>
        </xdr:cNvGrpSpPr>
      </xdr:nvGrpSpPr>
      <xdr:grpSpPr>
        <a:xfrm>
          <a:off x="550679" y="34335408"/>
          <a:ext cx="370963" cy="326919"/>
          <a:chOff x="5929446" y="4795882"/>
          <a:chExt cx="914400" cy="914400"/>
        </a:xfrm>
      </xdr:grpSpPr>
      <xdr:sp macro="" textlink="">
        <xdr:nvSpPr>
          <xdr:cNvPr id="5" name="Oval 4">
            <a:extLst>
              <a:ext uri="{FF2B5EF4-FFF2-40B4-BE49-F238E27FC236}">
                <a16:creationId xmlns:a16="http://schemas.microsoft.com/office/drawing/2014/main" id="{0FCECBEF-37E9-21BA-6282-225115D215D6}"/>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6" name="Graphic 96">
            <a:extLst>
              <a:ext uri="{FF2B5EF4-FFF2-40B4-BE49-F238E27FC236}">
                <a16:creationId xmlns:a16="http://schemas.microsoft.com/office/drawing/2014/main" id="{0E3411C7-5EF5-3783-3CC6-38760E246B7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068046" y="4934482"/>
            <a:ext cx="637200" cy="637200"/>
          </a:xfrm>
          <a:prstGeom prst="rect">
            <a:avLst/>
          </a:prstGeom>
        </xdr:spPr>
      </xdr:pic>
    </xdr:grpSp>
    <xdr:clientData/>
  </xdr:twoCellAnchor>
  <xdr:twoCellAnchor editAs="oneCell">
    <xdr:from>
      <xdr:col>1</xdr:col>
      <xdr:colOff>413696</xdr:colOff>
      <xdr:row>150</xdr:row>
      <xdr:rowOff>102951</xdr:rowOff>
    </xdr:from>
    <xdr:to>
      <xdr:col>1</xdr:col>
      <xdr:colOff>778309</xdr:colOff>
      <xdr:row>151</xdr:row>
      <xdr:rowOff>199351</xdr:rowOff>
    </xdr:to>
    <xdr:grpSp>
      <xdr:nvGrpSpPr>
        <xdr:cNvPr id="7" name="Group 6">
          <a:extLst>
            <a:ext uri="{FF2B5EF4-FFF2-40B4-BE49-F238E27FC236}">
              <a16:creationId xmlns:a16="http://schemas.microsoft.com/office/drawing/2014/main" id="{A8678C97-4F7A-47DA-9D35-8F5DC7EA7274}"/>
            </a:ext>
          </a:extLst>
        </xdr:cNvPr>
        <xdr:cNvGrpSpPr>
          <a:grpSpLocks noChangeAspect="1"/>
        </xdr:cNvGrpSpPr>
      </xdr:nvGrpSpPr>
      <xdr:grpSpPr>
        <a:xfrm>
          <a:off x="743896" y="34491376"/>
          <a:ext cx="367788" cy="318650"/>
          <a:chOff x="5472227" y="5216014"/>
          <a:chExt cx="914400" cy="914400"/>
        </a:xfrm>
      </xdr:grpSpPr>
      <xdr:sp macro="" textlink="">
        <xdr:nvSpPr>
          <xdr:cNvPr id="8" name="Oval 7">
            <a:extLst>
              <a:ext uri="{FF2B5EF4-FFF2-40B4-BE49-F238E27FC236}">
                <a16:creationId xmlns:a16="http://schemas.microsoft.com/office/drawing/2014/main" id="{6AA3FAAA-EB8D-D9A8-CD48-9B02243EDE11}"/>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9" name="Freeform: Shape 8">
            <a:extLst>
              <a:ext uri="{FF2B5EF4-FFF2-40B4-BE49-F238E27FC236}">
                <a16:creationId xmlns:a16="http://schemas.microsoft.com/office/drawing/2014/main" id="{E53ED848-27BC-7637-2869-A1C0855BFE32}"/>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xdr:col>
      <xdr:colOff>297584</xdr:colOff>
      <xdr:row>174</xdr:row>
      <xdr:rowOff>32516</xdr:rowOff>
    </xdr:from>
    <xdr:to>
      <xdr:col>1</xdr:col>
      <xdr:colOff>664479</xdr:colOff>
      <xdr:row>175</xdr:row>
      <xdr:rowOff>170534</xdr:rowOff>
    </xdr:to>
    <xdr:grpSp>
      <xdr:nvGrpSpPr>
        <xdr:cNvPr id="10" name="Group 9">
          <a:extLst>
            <a:ext uri="{FF2B5EF4-FFF2-40B4-BE49-F238E27FC236}">
              <a16:creationId xmlns:a16="http://schemas.microsoft.com/office/drawing/2014/main" id="{8896168F-966C-493C-8B9F-3DF2ACA998AF}"/>
            </a:ext>
          </a:extLst>
        </xdr:cNvPr>
        <xdr:cNvGrpSpPr>
          <a:grpSpLocks/>
        </xdr:cNvGrpSpPr>
      </xdr:nvGrpSpPr>
      <xdr:grpSpPr>
        <a:xfrm>
          <a:off x="627784" y="39748591"/>
          <a:ext cx="370070" cy="363443"/>
          <a:chOff x="7025492" y="5073082"/>
          <a:chExt cx="914400" cy="914400"/>
        </a:xfrm>
      </xdr:grpSpPr>
      <xdr:sp macro="" textlink="">
        <xdr:nvSpPr>
          <xdr:cNvPr id="11" name="Oval 10">
            <a:extLst>
              <a:ext uri="{FF2B5EF4-FFF2-40B4-BE49-F238E27FC236}">
                <a16:creationId xmlns:a16="http://schemas.microsoft.com/office/drawing/2014/main" id="{BF472DDD-0DD4-D90C-3A00-6E571A53D2D0}"/>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12" name="Group 11">
            <a:extLst>
              <a:ext uri="{FF2B5EF4-FFF2-40B4-BE49-F238E27FC236}">
                <a16:creationId xmlns:a16="http://schemas.microsoft.com/office/drawing/2014/main" id="{BF365EEC-1704-5049-B757-C34AEC858E53}"/>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13" name="Freeform: Shape 12">
              <a:extLst>
                <a:ext uri="{FF2B5EF4-FFF2-40B4-BE49-F238E27FC236}">
                  <a16:creationId xmlns:a16="http://schemas.microsoft.com/office/drawing/2014/main" id="{E5A0322F-7BAF-366C-822E-4387E1B7B949}"/>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14" name="Freeform: Shape 13">
              <a:extLst>
                <a:ext uri="{FF2B5EF4-FFF2-40B4-BE49-F238E27FC236}">
                  <a16:creationId xmlns:a16="http://schemas.microsoft.com/office/drawing/2014/main" id="{2AA01000-D14C-C672-74A3-6D573A7E6A6C}"/>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xdr:col>
      <xdr:colOff>303918</xdr:colOff>
      <xdr:row>128</xdr:row>
      <xdr:rowOff>33280</xdr:rowOff>
    </xdr:from>
    <xdr:to>
      <xdr:col>1</xdr:col>
      <xdr:colOff>663730</xdr:colOff>
      <xdr:row>129</xdr:row>
      <xdr:rowOff>133379</xdr:rowOff>
    </xdr:to>
    <xdr:grpSp>
      <xdr:nvGrpSpPr>
        <xdr:cNvPr id="15" name="Group 14">
          <a:extLst>
            <a:ext uri="{FF2B5EF4-FFF2-40B4-BE49-F238E27FC236}">
              <a16:creationId xmlns:a16="http://schemas.microsoft.com/office/drawing/2014/main" id="{C26EF371-56A0-40A1-AB98-0E7F2274E87D}"/>
            </a:ext>
          </a:extLst>
        </xdr:cNvPr>
        <xdr:cNvGrpSpPr>
          <a:grpSpLocks noChangeAspect="1"/>
        </xdr:cNvGrpSpPr>
      </xdr:nvGrpSpPr>
      <xdr:grpSpPr>
        <a:xfrm>
          <a:off x="637293" y="29525855"/>
          <a:ext cx="359812" cy="325524"/>
          <a:chOff x="2627790" y="5073082"/>
          <a:chExt cx="914400" cy="914400"/>
        </a:xfrm>
      </xdr:grpSpPr>
      <xdr:sp macro="" textlink="">
        <xdr:nvSpPr>
          <xdr:cNvPr id="16" name="Oval 15">
            <a:extLst>
              <a:ext uri="{FF2B5EF4-FFF2-40B4-BE49-F238E27FC236}">
                <a16:creationId xmlns:a16="http://schemas.microsoft.com/office/drawing/2014/main" id="{23B6E24C-098A-DC42-ABBC-F6B53E16F0E1}"/>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17" name="Freeform: Shape 16">
            <a:extLst>
              <a:ext uri="{FF2B5EF4-FFF2-40B4-BE49-F238E27FC236}">
                <a16:creationId xmlns:a16="http://schemas.microsoft.com/office/drawing/2014/main" id="{295A79E5-3474-2EAC-08D7-FCF8489C4C8B}"/>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oneCellAnchor>
    <xdr:from>
      <xdr:col>16</xdr:col>
      <xdr:colOff>0</xdr:colOff>
      <xdr:row>187</xdr:row>
      <xdr:rowOff>0</xdr:rowOff>
    </xdr:from>
    <xdr:ext cx="102235" cy="231622"/>
    <xdr:sp macro="" textlink="">
      <xdr:nvSpPr>
        <xdr:cNvPr id="18" name="Text Box 82">
          <a:extLst>
            <a:ext uri="{FF2B5EF4-FFF2-40B4-BE49-F238E27FC236}">
              <a16:creationId xmlns:a16="http://schemas.microsoft.com/office/drawing/2014/main" id="{B80F1D54-9151-43C1-8575-4A66800F2C1B}"/>
            </a:ext>
          </a:extLst>
        </xdr:cNvPr>
        <xdr:cNvSpPr txBox="1">
          <a:spLocks noChangeArrowheads="1"/>
        </xdr:cNvSpPr>
      </xdr:nvSpPr>
      <xdr:spPr bwMode="auto">
        <a:xfrm>
          <a:off x="13506450" y="43751500"/>
          <a:ext cx="102235" cy="231622"/>
        </a:xfrm>
        <a:prstGeom prst="rect">
          <a:avLst/>
        </a:prstGeom>
        <a:noFill/>
        <a:ln w="9525">
          <a:noFill/>
          <a:miter lim="800000"/>
          <a:headEnd/>
          <a:tailEnd/>
        </a:ln>
      </xdr:spPr>
    </xdr:sp>
    <xdr:clientData/>
  </xdr:oneCellAnchor>
  <xdr:oneCellAnchor>
    <xdr:from>
      <xdr:col>24</xdr:col>
      <xdr:colOff>880534</xdr:colOff>
      <xdr:row>12</xdr:row>
      <xdr:rowOff>25400</xdr:rowOff>
    </xdr:from>
    <xdr:ext cx="184731" cy="264560"/>
    <xdr:sp macro="" textlink="">
      <xdr:nvSpPr>
        <xdr:cNvPr id="19" name="TextBox 18">
          <a:extLst>
            <a:ext uri="{FF2B5EF4-FFF2-40B4-BE49-F238E27FC236}">
              <a16:creationId xmlns:a16="http://schemas.microsoft.com/office/drawing/2014/main" id="{B4831CD5-8A60-4A37-ABDD-BFC4D04D8506}"/>
            </a:ext>
          </a:extLst>
        </xdr:cNvPr>
        <xdr:cNvSpPr txBox="1"/>
      </xdr:nvSpPr>
      <xdr:spPr>
        <a:xfrm>
          <a:off x="21810134" y="327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twoCellAnchor>
    <xdr:from>
      <xdr:col>11</xdr:col>
      <xdr:colOff>92188</xdr:colOff>
      <xdr:row>67</xdr:row>
      <xdr:rowOff>68159</xdr:rowOff>
    </xdr:from>
    <xdr:to>
      <xdr:col>14</xdr:col>
      <xdr:colOff>19318</xdr:colOff>
      <xdr:row>85</xdr:row>
      <xdr:rowOff>67594</xdr:rowOff>
    </xdr:to>
    <xdr:graphicFrame macro="">
      <xdr:nvGraphicFramePr>
        <xdr:cNvPr id="20" name="Chart 34">
          <a:extLst>
            <a:ext uri="{FF2B5EF4-FFF2-40B4-BE49-F238E27FC236}">
              <a16:creationId xmlns:a16="http://schemas.microsoft.com/office/drawing/2014/main" id="{0BF69675-4D39-4308-8224-E8DD65FB8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11</xdr:col>
      <xdr:colOff>684622</xdr:colOff>
      <xdr:row>109</xdr:row>
      <xdr:rowOff>0</xdr:rowOff>
    </xdr:from>
    <xdr:to>
      <xdr:col>12</xdr:col>
      <xdr:colOff>211749</xdr:colOff>
      <xdr:row>110</xdr:row>
      <xdr:rowOff>131675</xdr:rowOff>
    </xdr:to>
    <xdr:grpSp>
      <xdr:nvGrpSpPr>
        <xdr:cNvPr id="21" name="Group 20">
          <a:extLst>
            <a:ext uri="{FF2B5EF4-FFF2-40B4-BE49-F238E27FC236}">
              <a16:creationId xmlns:a16="http://schemas.microsoft.com/office/drawing/2014/main" id="{4CEA6B2B-591D-44C6-9403-692A81B975DF}"/>
            </a:ext>
          </a:extLst>
        </xdr:cNvPr>
        <xdr:cNvGrpSpPr>
          <a:grpSpLocks/>
        </xdr:cNvGrpSpPr>
      </xdr:nvGrpSpPr>
      <xdr:grpSpPr>
        <a:xfrm>
          <a:off x="9749247" y="25273000"/>
          <a:ext cx="400252" cy="353925"/>
          <a:chOff x="2627790" y="5073082"/>
          <a:chExt cx="914400" cy="914400"/>
        </a:xfrm>
      </xdr:grpSpPr>
      <xdr:sp macro="" textlink="">
        <xdr:nvSpPr>
          <xdr:cNvPr id="22" name="Oval 21">
            <a:extLst>
              <a:ext uri="{FF2B5EF4-FFF2-40B4-BE49-F238E27FC236}">
                <a16:creationId xmlns:a16="http://schemas.microsoft.com/office/drawing/2014/main" id="{B53E6E5A-E4FD-503B-128D-C07067AC9A60}"/>
              </a:ext>
            </a:extLst>
          </xdr:cNvPr>
          <xdr:cNvSpPr/>
        </xdr:nvSpPr>
        <xdr:spPr>
          <a:xfrm>
            <a:off x="2627790" y="5073082"/>
            <a:ext cx="914400" cy="914400"/>
          </a:xfrm>
          <a:prstGeom prst="ellipse">
            <a:avLst/>
          </a:prstGeom>
          <a:solidFill>
            <a:schemeClr val="accent5">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23" name="Freeform: Shape 22">
            <a:extLst>
              <a:ext uri="{FF2B5EF4-FFF2-40B4-BE49-F238E27FC236}">
                <a16:creationId xmlns:a16="http://schemas.microsoft.com/office/drawing/2014/main" id="{3E3C5163-5F96-63CA-C553-A9926BC3D747}"/>
              </a:ext>
            </a:extLst>
          </xdr:cNvPr>
          <xdr:cNvSpPr/>
        </xdr:nvSpPr>
        <xdr:spPr>
          <a:xfrm>
            <a:off x="2854787" y="5202289"/>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xdr:from>
      <xdr:col>14</xdr:col>
      <xdr:colOff>247514</xdr:colOff>
      <xdr:row>67</xdr:row>
      <xdr:rowOff>67229</xdr:rowOff>
    </xdr:from>
    <xdr:to>
      <xdr:col>16</xdr:col>
      <xdr:colOff>629258</xdr:colOff>
      <xdr:row>85</xdr:row>
      <xdr:rowOff>67594</xdr:rowOff>
    </xdr:to>
    <xdr:graphicFrame macro="">
      <xdr:nvGraphicFramePr>
        <xdr:cNvPr id="24" name="Chart 36">
          <a:extLst>
            <a:ext uri="{FF2B5EF4-FFF2-40B4-BE49-F238E27FC236}">
              <a16:creationId xmlns:a16="http://schemas.microsoft.com/office/drawing/2014/main" id="{B9D3CBE7-46A9-4603-A7EE-E777C1098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20009</xdr:colOff>
      <xdr:row>10</xdr:row>
      <xdr:rowOff>60158</xdr:rowOff>
    </xdr:from>
    <xdr:to>
      <xdr:col>17</xdr:col>
      <xdr:colOff>63500</xdr:colOff>
      <xdr:row>27</xdr:row>
      <xdr:rowOff>188287</xdr:rowOff>
    </xdr:to>
    <xdr:sp macro="" textlink="">
      <xdr:nvSpPr>
        <xdr:cNvPr id="25" name="TextBox 22">
          <a:extLst>
            <a:ext uri="{FF2B5EF4-FFF2-40B4-BE49-F238E27FC236}">
              <a16:creationId xmlns:a16="http://schemas.microsoft.com/office/drawing/2014/main" id="{6FF1794C-A4D8-44D3-92CF-393D803DD336}"/>
            </a:ext>
          </a:extLst>
        </xdr:cNvPr>
        <xdr:cNvSpPr txBox="1"/>
      </xdr:nvSpPr>
      <xdr:spPr>
        <a:xfrm>
          <a:off x="1239209" y="2847808"/>
          <a:ext cx="13207041" cy="4014329"/>
        </a:xfrm>
        <a:prstGeom prst="rect">
          <a:avLst/>
        </a:prstGeom>
        <a:noFill/>
        <a:ln w="6350">
          <a:noFill/>
          <a:miter lim="800000"/>
        </a:ln>
      </xdr:spPr>
      <xdr:txBody>
        <a:bodyPr vertOverflow="clip" horzOverflow="clip" vert="horz" wrap="square" lIns="0" tIns="0" rIns="0" bIns="0" rtlCol="0" anchor="t">
          <a:noAutofit/>
        </a:bodyPr>
        <a:lstStyle/>
        <a:p>
          <a:pPr marL="0" marR="0" algn="just">
            <a:lnSpc>
              <a:spcPct val="107000"/>
            </a:lnSpc>
            <a:spcBef>
              <a:spcPts val="0"/>
            </a:spcBef>
            <a:spcAft>
              <a:spcPts val="500"/>
            </a:spcAft>
            <a:tabLst>
              <a:tab pos="457200" algn="l"/>
            </a:tabLst>
          </a:pPr>
          <a:endParaRPr lang="en-GB" sz="1200" b="0">
            <a:solidFill>
              <a:sysClr val="windowText" lastClr="000000"/>
            </a:solidFill>
            <a:effectLst/>
            <a:latin typeface="FT Base Book" pitchFamily="2" charset="0"/>
            <a:ea typeface="Mulish" pitchFamily="2" charset="0"/>
            <a:cs typeface="Times New Roman" panose="02020603050405020304" pitchFamily="18" charset="0"/>
          </a:endParaRPr>
        </a:p>
      </xdr:txBody>
    </xdr:sp>
    <xdr:clientData/>
  </xdr:twoCellAnchor>
  <xdr:twoCellAnchor>
    <xdr:from>
      <xdr:col>11</xdr:col>
      <xdr:colOff>37830</xdr:colOff>
      <xdr:row>29</xdr:row>
      <xdr:rowOff>227307</xdr:rowOff>
    </xdr:from>
    <xdr:to>
      <xdr:col>17</xdr:col>
      <xdr:colOff>44179</xdr:colOff>
      <xdr:row>46</xdr:row>
      <xdr:rowOff>31545</xdr:rowOff>
    </xdr:to>
    <xdr:graphicFrame macro="">
      <xdr:nvGraphicFramePr>
        <xdr:cNvPr id="26" name="Chart 55">
          <a:extLst>
            <a:ext uri="{FF2B5EF4-FFF2-40B4-BE49-F238E27FC236}">
              <a16:creationId xmlns:a16="http://schemas.microsoft.com/office/drawing/2014/main" id="{FEDEED8F-3D08-497D-A916-B04A128FD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xdr:colOff>
      <xdr:row>101</xdr:row>
      <xdr:rowOff>225014</xdr:rowOff>
    </xdr:from>
    <xdr:to>
      <xdr:col>17</xdr:col>
      <xdr:colOff>1</xdr:colOff>
      <xdr:row>118</xdr:row>
      <xdr:rowOff>187400</xdr:rowOff>
    </xdr:to>
    <xdr:graphicFrame macro="">
      <xdr:nvGraphicFramePr>
        <xdr:cNvPr id="27" name="Chart 26">
          <a:extLst>
            <a:ext uri="{FF2B5EF4-FFF2-40B4-BE49-F238E27FC236}">
              <a16:creationId xmlns:a16="http://schemas.microsoft.com/office/drawing/2014/main" id="{2B8946C3-33A3-4626-B254-9C7BF1A75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15</xdr:col>
      <xdr:colOff>109391</xdr:colOff>
      <xdr:row>103</xdr:row>
      <xdr:rowOff>162012</xdr:rowOff>
    </xdr:from>
    <xdr:to>
      <xdr:col>15</xdr:col>
      <xdr:colOff>477941</xdr:colOff>
      <xdr:row>105</xdr:row>
      <xdr:rowOff>59603</xdr:rowOff>
    </xdr:to>
    <xdr:grpSp>
      <xdr:nvGrpSpPr>
        <xdr:cNvPr id="28" name="Group 27">
          <a:extLst>
            <a:ext uri="{FF2B5EF4-FFF2-40B4-BE49-F238E27FC236}">
              <a16:creationId xmlns:a16="http://schemas.microsoft.com/office/drawing/2014/main" id="{4660B8C4-8FD1-4152-B275-A6C76B9E04F9}"/>
            </a:ext>
          </a:extLst>
        </xdr:cNvPr>
        <xdr:cNvGrpSpPr>
          <a:grpSpLocks/>
        </xdr:cNvGrpSpPr>
      </xdr:nvGrpSpPr>
      <xdr:grpSpPr>
        <a:xfrm>
          <a:off x="12679216" y="24098337"/>
          <a:ext cx="371725" cy="345266"/>
          <a:chOff x="5472227" y="5216014"/>
          <a:chExt cx="914400" cy="914400"/>
        </a:xfrm>
      </xdr:grpSpPr>
      <xdr:sp macro="" textlink="">
        <xdr:nvSpPr>
          <xdr:cNvPr id="29" name="Oval 28">
            <a:extLst>
              <a:ext uri="{FF2B5EF4-FFF2-40B4-BE49-F238E27FC236}">
                <a16:creationId xmlns:a16="http://schemas.microsoft.com/office/drawing/2014/main" id="{4DFE506E-9DE7-ED81-5092-B1EBEC2E2EC0}"/>
              </a:ext>
            </a:extLst>
          </xdr:cNvPr>
          <xdr:cNvSpPr/>
        </xdr:nvSpPr>
        <xdr:spPr>
          <a:xfrm>
            <a:off x="5472227" y="5216014"/>
            <a:ext cx="914400" cy="914400"/>
          </a:xfrm>
          <a:prstGeom prst="ellipse">
            <a:avLst/>
          </a:prstGeom>
          <a:solidFill>
            <a:schemeClr val="accent4">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sp macro="" textlink="">
        <xdr:nvSpPr>
          <xdr:cNvPr id="30" name="Freeform: Shape 29">
            <a:extLst>
              <a:ext uri="{FF2B5EF4-FFF2-40B4-BE49-F238E27FC236}">
                <a16:creationId xmlns:a16="http://schemas.microsoft.com/office/drawing/2014/main" id="{EB44E7C2-72A0-AF85-8547-D51D81C020B0}"/>
              </a:ext>
            </a:extLst>
          </xdr:cNvPr>
          <xdr:cNvSpPr/>
        </xdr:nvSpPr>
        <xdr:spPr>
          <a:xfrm>
            <a:off x="5601504" y="5345459"/>
            <a:ext cx="655846" cy="655510"/>
          </a:xfrm>
          <a:custGeom>
            <a:avLst/>
            <a:gdLst>
              <a:gd name="connsiteX0" fmla="*/ 653987 w 655846"/>
              <a:gd name="connsiteY0" fmla="*/ 297275 h 655510"/>
              <a:gd name="connsiteX1" fmla="*/ 642747 w 655846"/>
              <a:gd name="connsiteY1" fmla="*/ 290894 h 655510"/>
              <a:gd name="connsiteX2" fmla="*/ 382048 w 655846"/>
              <a:gd name="connsiteY2" fmla="*/ 290894 h 655510"/>
              <a:gd name="connsiteX3" fmla="*/ 384524 w 655846"/>
              <a:gd name="connsiteY3" fmla="*/ 275177 h 655510"/>
              <a:gd name="connsiteX4" fmla="*/ 511016 w 655846"/>
              <a:gd name="connsiteY4" fmla="*/ 275177 h 655510"/>
              <a:gd name="connsiteX5" fmla="*/ 524161 w 655846"/>
              <a:gd name="connsiteY5" fmla="*/ 262033 h 655510"/>
              <a:gd name="connsiteX6" fmla="*/ 511016 w 655846"/>
              <a:gd name="connsiteY6" fmla="*/ 248888 h 655510"/>
              <a:gd name="connsiteX7" fmla="*/ 383953 w 655846"/>
              <a:gd name="connsiteY7" fmla="*/ 248888 h 655510"/>
              <a:gd name="connsiteX8" fmla="*/ 356997 w 655846"/>
              <a:gd name="connsiteY8" fmla="*/ 185642 h 655510"/>
              <a:gd name="connsiteX9" fmla="*/ 447389 w 655846"/>
              <a:gd name="connsiteY9" fmla="*/ 95250 h 655510"/>
              <a:gd name="connsiteX10" fmla="*/ 451199 w 655846"/>
              <a:gd name="connsiteY10" fmla="*/ 86011 h 655510"/>
              <a:gd name="connsiteX11" fmla="*/ 447389 w 655846"/>
              <a:gd name="connsiteY11" fmla="*/ 76771 h 655510"/>
              <a:gd name="connsiteX12" fmla="*/ 428816 w 655846"/>
              <a:gd name="connsiteY12" fmla="*/ 76771 h 655510"/>
              <a:gd name="connsiteX13" fmla="*/ 338328 w 655846"/>
              <a:gd name="connsiteY13" fmla="*/ 167259 h 655510"/>
              <a:gd name="connsiteX14" fmla="*/ 275082 w 655846"/>
              <a:gd name="connsiteY14" fmla="*/ 140780 h 655510"/>
              <a:gd name="connsiteX15" fmla="*/ 275082 w 655846"/>
              <a:gd name="connsiteY15" fmla="*/ 13145 h 655510"/>
              <a:gd name="connsiteX16" fmla="*/ 261938 w 655846"/>
              <a:gd name="connsiteY16" fmla="*/ 0 h 655510"/>
              <a:gd name="connsiteX17" fmla="*/ 248793 w 655846"/>
              <a:gd name="connsiteY17" fmla="*/ 13145 h 655510"/>
              <a:gd name="connsiteX18" fmla="*/ 248793 w 655846"/>
              <a:gd name="connsiteY18" fmla="*/ 140399 h 655510"/>
              <a:gd name="connsiteX19" fmla="*/ 184404 w 655846"/>
              <a:gd name="connsiteY19" fmla="*/ 166021 h 655510"/>
              <a:gd name="connsiteX20" fmla="*/ 95345 w 655846"/>
              <a:gd name="connsiteY20" fmla="*/ 76771 h 655510"/>
              <a:gd name="connsiteX21" fmla="*/ 76772 w 655846"/>
              <a:gd name="connsiteY21" fmla="*/ 76771 h 655510"/>
              <a:gd name="connsiteX22" fmla="*/ 72961 w 655846"/>
              <a:gd name="connsiteY22" fmla="*/ 86011 h 655510"/>
              <a:gd name="connsiteX23" fmla="*/ 76772 w 655846"/>
              <a:gd name="connsiteY23" fmla="*/ 95250 h 655510"/>
              <a:gd name="connsiteX24" fmla="*/ 165640 w 655846"/>
              <a:gd name="connsiteY24" fmla="*/ 184118 h 655510"/>
              <a:gd name="connsiteX25" fmla="*/ 137351 w 655846"/>
              <a:gd name="connsiteY25" fmla="*/ 248888 h 655510"/>
              <a:gd name="connsiteX26" fmla="*/ 13145 w 655846"/>
              <a:gd name="connsiteY26" fmla="*/ 248888 h 655510"/>
              <a:gd name="connsiteX27" fmla="*/ 0 w 655846"/>
              <a:gd name="connsiteY27" fmla="*/ 262033 h 655510"/>
              <a:gd name="connsiteX28" fmla="*/ 13145 w 655846"/>
              <a:gd name="connsiteY28" fmla="*/ 275177 h 655510"/>
              <a:gd name="connsiteX29" fmla="*/ 136874 w 655846"/>
              <a:gd name="connsiteY29" fmla="*/ 275177 h 655510"/>
              <a:gd name="connsiteX30" fmla="*/ 163258 w 655846"/>
              <a:gd name="connsiteY30" fmla="*/ 342424 h 655510"/>
              <a:gd name="connsiteX31" fmla="*/ 76867 w 655846"/>
              <a:gd name="connsiteY31" fmla="*/ 428816 h 655510"/>
              <a:gd name="connsiteX32" fmla="*/ 73057 w 655846"/>
              <a:gd name="connsiteY32" fmla="*/ 438055 h 655510"/>
              <a:gd name="connsiteX33" fmla="*/ 76867 w 655846"/>
              <a:gd name="connsiteY33" fmla="*/ 447294 h 655510"/>
              <a:gd name="connsiteX34" fmla="*/ 86106 w 655846"/>
              <a:gd name="connsiteY34" fmla="*/ 451104 h 655510"/>
              <a:gd name="connsiteX35" fmla="*/ 95345 w 655846"/>
              <a:gd name="connsiteY35" fmla="*/ 447294 h 655510"/>
              <a:gd name="connsiteX36" fmla="*/ 181737 w 655846"/>
              <a:gd name="connsiteY36" fmla="*/ 360902 h 655510"/>
              <a:gd name="connsiteX37" fmla="*/ 238220 w 655846"/>
              <a:gd name="connsiteY37" fmla="*/ 385858 h 655510"/>
              <a:gd name="connsiteX38" fmla="*/ 103918 w 655846"/>
              <a:gd name="connsiteY38" fmla="*/ 636175 h 655510"/>
              <a:gd name="connsiteX39" fmla="*/ 104204 w 655846"/>
              <a:gd name="connsiteY39" fmla="*/ 649129 h 655510"/>
              <a:gd name="connsiteX40" fmla="*/ 115443 w 655846"/>
              <a:gd name="connsiteY40" fmla="*/ 655511 h 655510"/>
              <a:gd name="connsiteX41" fmla="*/ 461201 w 655846"/>
              <a:gd name="connsiteY41" fmla="*/ 655511 h 655510"/>
              <a:gd name="connsiteX42" fmla="*/ 472726 w 655846"/>
              <a:gd name="connsiteY42" fmla="*/ 648557 h 655510"/>
              <a:gd name="connsiteX43" fmla="*/ 654272 w 655846"/>
              <a:gd name="connsiteY43" fmla="*/ 310134 h 655510"/>
              <a:gd name="connsiteX44" fmla="*/ 653987 w 655846"/>
              <a:gd name="connsiteY44" fmla="*/ 297180 h 655510"/>
              <a:gd name="connsiteX45" fmla="*/ 507587 w 655846"/>
              <a:gd name="connsiteY45" fmla="*/ 317087 h 655510"/>
              <a:gd name="connsiteX46" fmla="*/ 466725 w 655846"/>
              <a:gd name="connsiteY46" fmla="*/ 393287 h 655510"/>
              <a:gd name="connsiteX47" fmla="*/ 373571 w 655846"/>
              <a:gd name="connsiteY47" fmla="*/ 393287 h 655510"/>
              <a:gd name="connsiteX48" fmla="*/ 414433 w 655846"/>
              <a:gd name="connsiteY48" fmla="*/ 317087 h 655510"/>
              <a:gd name="connsiteX49" fmla="*/ 507587 w 655846"/>
              <a:gd name="connsiteY49" fmla="*/ 317087 h 655510"/>
              <a:gd name="connsiteX50" fmla="*/ 514731 w 655846"/>
              <a:gd name="connsiteY50" fmla="*/ 514922 h 655510"/>
              <a:gd name="connsiteX51" fmla="*/ 431197 w 655846"/>
              <a:gd name="connsiteY51" fmla="*/ 514922 h 655510"/>
              <a:gd name="connsiteX52" fmla="*/ 482441 w 655846"/>
              <a:gd name="connsiteY52" fmla="*/ 419481 h 655510"/>
              <a:gd name="connsiteX53" fmla="*/ 565976 w 655846"/>
              <a:gd name="connsiteY53" fmla="*/ 419481 h 655510"/>
              <a:gd name="connsiteX54" fmla="*/ 514731 w 655846"/>
              <a:gd name="connsiteY54" fmla="*/ 514922 h 655510"/>
              <a:gd name="connsiteX55" fmla="*/ 401479 w 655846"/>
              <a:gd name="connsiteY55" fmla="*/ 514922 h 655510"/>
              <a:gd name="connsiteX56" fmla="*/ 308324 w 655846"/>
              <a:gd name="connsiteY56" fmla="*/ 514922 h 655510"/>
              <a:gd name="connsiteX57" fmla="*/ 359569 w 655846"/>
              <a:gd name="connsiteY57" fmla="*/ 419481 h 655510"/>
              <a:gd name="connsiteX58" fmla="*/ 452723 w 655846"/>
              <a:gd name="connsiteY58" fmla="*/ 419481 h 655510"/>
              <a:gd name="connsiteX59" fmla="*/ 401479 w 655846"/>
              <a:gd name="connsiteY59" fmla="*/ 514922 h 655510"/>
              <a:gd name="connsiteX60" fmla="*/ 304991 w 655846"/>
              <a:gd name="connsiteY60" fmla="*/ 317087 h 655510"/>
              <a:gd name="connsiteX61" fmla="*/ 384715 w 655846"/>
              <a:gd name="connsiteY61" fmla="*/ 317087 h 655510"/>
              <a:gd name="connsiteX62" fmla="*/ 343852 w 655846"/>
              <a:gd name="connsiteY62" fmla="*/ 393287 h 655510"/>
              <a:gd name="connsiteX63" fmla="*/ 264128 w 655846"/>
              <a:gd name="connsiteY63" fmla="*/ 393287 h 655510"/>
              <a:gd name="connsiteX64" fmla="*/ 304991 w 655846"/>
              <a:gd name="connsiteY64" fmla="*/ 317087 h 655510"/>
              <a:gd name="connsiteX65" fmla="*/ 250031 w 655846"/>
              <a:gd name="connsiteY65" fmla="*/ 419481 h 655510"/>
              <a:gd name="connsiteX66" fmla="*/ 329756 w 655846"/>
              <a:gd name="connsiteY66" fmla="*/ 419481 h 655510"/>
              <a:gd name="connsiteX67" fmla="*/ 278511 w 655846"/>
              <a:gd name="connsiteY67" fmla="*/ 514922 h 655510"/>
              <a:gd name="connsiteX68" fmla="*/ 198787 w 655846"/>
              <a:gd name="connsiteY68" fmla="*/ 514922 h 655510"/>
              <a:gd name="connsiteX69" fmla="*/ 250031 w 655846"/>
              <a:gd name="connsiteY69" fmla="*/ 419481 h 655510"/>
              <a:gd name="connsiteX70" fmla="*/ 162592 w 655846"/>
              <a:gd name="connsiteY70" fmla="*/ 264128 h 655510"/>
              <a:gd name="connsiteX71" fmla="*/ 260699 w 655846"/>
              <a:gd name="connsiteY71" fmla="*/ 166021 h 655510"/>
              <a:gd name="connsiteX72" fmla="*/ 358807 w 655846"/>
              <a:gd name="connsiteY72" fmla="*/ 264128 h 655510"/>
              <a:gd name="connsiteX73" fmla="*/ 354902 w 655846"/>
              <a:gd name="connsiteY73" fmla="*/ 290894 h 655510"/>
              <a:gd name="connsiteX74" fmla="*/ 297085 w 655846"/>
              <a:gd name="connsiteY74" fmla="*/ 290894 h 655510"/>
              <a:gd name="connsiteX75" fmla="*/ 285560 w 655846"/>
              <a:gd name="connsiteY75" fmla="*/ 297847 h 655510"/>
              <a:gd name="connsiteX76" fmla="*/ 251555 w 655846"/>
              <a:gd name="connsiteY76" fmla="*/ 361188 h 655510"/>
              <a:gd name="connsiteX77" fmla="*/ 162592 w 655846"/>
              <a:gd name="connsiteY77" fmla="*/ 264224 h 655510"/>
              <a:gd name="connsiteX78" fmla="*/ 184785 w 655846"/>
              <a:gd name="connsiteY78" fmla="*/ 541115 h 655510"/>
              <a:gd name="connsiteX79" fmla="*/ 264509 w 655846"/>
              <a:gd name="connsiteY79" fmla="*/ 541115 h 655510"/>
              <a:gd name="connsiteX80" fmla="*/ 217170 w 655846"/>
              <a:gd name="connsiteY80" fmla="*/ 629317 h 655510"/>
              <a:gd name="connsiteX81" fmla="*/ 137351 w 655846"/>
              <a:gd name="connsiteY81" fmla="*/ 629317 h 655510"/>
              <a:gd name="connsiteX82" fmla="*/ 184690 w 655846"/>
              <a:gd name="connsiteY82" fmla="*/ 541115 h 655510"/>
              <a:gd name="connsiteX83" fmla="*/ 246983 w 655846"/>
              <a:gd name="connsiteY83" fmla="*/ 629317 h 655510"/>
              <a:gd name="connsiteX84" fmla="*/ 294323 w 655846"/>
              <a:gd name="connsiteY84" fmla="*/ 541115 h 655510"/>
              <a:gd name="connsiteX85" fmla="*/ 387477 w 655846"/>
              <a:gd name="connsiteY85" fmla="*/ 541115 h 655510"/>
              <a:gd name="connsiteX86" fmla="*/ 340138 w 655846"/>
              <a:gd name="connsiteY86" fmla="*/ 629317 h 655510"/>
              <a:gd name="connsiteX87" fmla="*/ 246983 w 655846"/>
              <a:gd name="connsiteY87" fmla="*/ 629317 h 655510"/>
              <a:gd name="connsiteX88" fmla="*/ 453485 w 655846"/>
              <a:gd name="connsiteY88" fmla="*/ 629317 h 655510"/>
              <a:gd name="connsiteX89" fmla="*/ 369951 w 655846"/>
              <a:gd name="connsiteY89" fmla="*/ 629317 h 655510"/>
              <a:gd name="connsiteX90" fmla="*/ 417290 w 655846"/>
              <a:gd name="connsiteY90" fmla="*/ 541115 h 655510"/>
              <a:gd name="connsiteX91" fmla="*/ 500825 w 655846"/>
              <a:gd name="connsiteY91" fmla="*/ 541115 h 655510"/>
              <a:gd name="connsiteX92" fmla="*/ 453485 w 655846"/>
              <a:gd name="connsiteY92" fmla="*/ 629317 h 655510"/>
              <a:gd name="connsiteX93" fmla="*/ 580073 w 655846"/>
              <a:gd name="connsiteY93" fmla="*/ 393287 h 655510"/>
              <a:gd name="connsiteX94" fmla="*/ 496538 w 655846"/>
              <a:gd name="connsiteY94" fmla="*/ 393287 h 655510"/>
              <a:gd name="connsiteX95" fmla="*/ 537401 w 655846"/>
              <a:gd name="connsiteY95" fmla="*/ 317087 h 655510"/>
              <a:gd name="connsiteX96" fmla="*/ 620935 w 655846"/>
              <a:gd name="connsiteY96" fmla="*/ 317087 h 655510"/>
              <a:gd name="connsiteX97" fmla="*/ 580073 w 655846"/>
              <a:gd name="connsiteY97" fmla="*/ 393287 h 6555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655846" h="655510">
                <a:moveTo>
                  <a:pt x="653987" y="297275"/>
                </a:moveTo>
                <a:cubicBezTo>
                  <a:pt x="651605" y="293275"/>
                  <a:pt x="647319" y="290894"/>
                  <a:pt x="642747" y="290894"/>
                </a:cubicBezTo>
                <a:lnTo>
                  <a:pt x="382048" y="290894"/>
                </a:lnTo>
                <a:cubicBezTo>
                  <a:pt x="383191" y="285750"/>
                  <a:pt x="384048" y="280416"/>
                  <a:pt x="384524" y="275177"/>
                </a:cubicBezTo>
                <a:lnTo>
                  <a:pt x="511016" y="275177"/>
                </a:lnTo>
                <a:cubicBezTo>
                  <a:pt x="518255" y="275177"/>
                  <a:pt x="524161" y="269272"/>
                  <a:pt x="524161" y="262033"/>
                </a:cubicBezTo>
                <a:cubicBezTo>
                  <a:pt x="524161" y="254794"/>
                  <a:pt x="518255" y="248888"/>
                  <a:pt x="511016" y="248888"/>
                </a:cubicBezTo>
                <a:lnTo>
                  <a:pt x="383953" y="248888"/>
                </a:lnTo>
                <a:cubicBezTo>
                  <a:pt x="381000" y="225076"/>
                  <a:pt x="371475" y="203359"/>
                  <a:pt x="356997" y="185642"/>
                </a:cubicBezTo>
                <a:lnTo>
                  <a:pt x="447389" y="95250"/>
                </a:lnTo>
                <a:cubicBezTo>
                  <a:pt x="449961" y="92678"/>
                  <a:pt x="451199" y="89345"/>
                  <a:pt x="451199" y="86011"/>
                </a:cubicBezTo>
                <a:cubicBezTo>
                  <a:pt x="451199" y="82677"/>
                  <a:pt x="449961" y="79343"/>
                  <a:pt x="447389" y="76771"/>
                </a:cubicBezTo>
                <a:cubicBezTo>
                  <a:pt x="442246" y="71628"/>
                  <a:pt x="433959" y="71628"/>
                  <a:pt x="428816" y="76771"/>
                </a:cubicBezTo>
                <a:lnTo>
                  <a:pt x="338328" y="167259"/>
                </a:lnTo>
                <a:cubicBezTo>
                  <a:pt x="320612" y="152972"/>
                  <a:pt x="298895" y="143542"/>
                  <a:pt x="275082" y="140780"/>
                </a:cubicBezTo>
                <a:lnTo>
                  <a:pt x="275082" y="13145"/>
                </a:lnTo>
                <a:cubicBezTo>
                  <a:pt x="275082" y="5906"/>
                  <a:pt x="269177" y="0"/>
                  <a:pt x="261938" y="0"/>
                </a:cubicBezTo>
                <a:cubicBezTo>
                  <a:pt x="254699" y="0"/>
                  <a:pt x="248793" y="5906"/>
                  <a:pt x="248793" y="13145"/>
                </a:cubicBezTo>
                <a:lnTo>
                  <a:pt x="248793" y="140399"/>
                </a:lnTo>
                <a:cubicBezTo>
                  <a:pt x="224600" y="142685"/>
                  <a:pt x="202502" y="151924"/>
                  <a:pt x="184404" y="166021"/>
                </a:cubicBezTo>
                <a:lnTo>
                  <a:pt x="95345" y="76771"/>
                </a:lnTo>
                <a:cubicBezTo>
                  <a:pt x="90202" y="71628"/>
                  <a:pt x="81915" y="71628"/>
                  <a:pt x="76772" y="76771"/>
                </a:cubicBezTo>
                <a:cubicBezTo>
                  <a:pt x="74200" y="79343"/>
                  <a:pt x="72961" y="82677"/>
                  <a:pt x="72961" y="86011"/>
                </a:cubicBezTo>
                <a:cubicBezTo>
                  <a:pt x="72961" y="89345"/>
                  <a:pt x="74200" y="92678"/>
                  <a:pt x="76772" y="95250"/>
                </a:cubicBezTo>
                <a:lnTo>
                  <a:pt x="165640" y="184118"/>
                </a:lnTo>
                <a:cubicBezTo>
                  <a:pt x="150495" y="202121"/>
                  <a:pt x="140399" y="224409"/>
                  <a:pt x="137351" y="248888"/>
                </a:cubicBezTo>
                <a:lnTo>
                  <a:pt x="13145" y="248888"/>
                </a:lnTo>
                <a:cubicBezTo>
                  <a:pt x="5906" y="248888"/>
                  <a:pt x="0" y="254794"/>
                  <a:pt x="0" y="262033"/>
                </a:cubicBezTo>
                <a:cubicBezTo>
                  <a:pt x="0" y="269272"/>
                  <a:pt x="5906" y="275177"/>
                  <a:pt x="13145" y="275177"/>
                </a:cubicBezTo>
                <a:lnTo>
                  <a:pt x="136874" y="275177"/>
                </a:lnTo>
                <a:cubicBezTo>
                  <a:pt x="138970" y="300799"/>
                  <a:pt x="148495" y="323945"/>
                  <a:pt x="163258" y="342424"/>
                </a:cubicBezTo>
                <a:lnTo>
                  <a:pt x="76867" y="428816"/>
                </a:lnTo>
                <a:cubicBezTo>
                  <a:pt x="74295" y="431387"/>
                  <a:pt x="73057" y="434721"/>
                  <a:pt x="73057" y="438055"/>
                </a:cubicBezTo>
                <a:cubicBezTo>
                  <a:pt x="73057" y="441389"/>
                  <a:pt x="74295" y="444722"/>
                  <a:pt x="76867" y="447294"/>
                </a:cubicBezTo>
                <a:cubicBezTo>
                  <a:pt x="79439" y="449866"/>
                  <a:pt x="82772" y="451104"/>
                  <a:pt x="86106" y="451104"/>
                </a:cubicBezTo>
                <a:cubicBezTo>
                  <a:pt x="89440" y="451104"/>
                  <a:pt x="92774" y="449866"/>
                  <a:pt x="95345" y="447294"/>
                </a:cubicBezTo>
                <a:lnTo>
                  <a:pt x="181737" y="360902"/>
                </a:lnTo>
                <a:cubicBezTo>
                  <a:pt x="197644" y="373761"/>
                  <a:pt x="216980" y="382524"/>
                  <a:pt x="238220" y="385858"/>
                </a:cubicBezTo>
                <a:lnTo>
                  <a:pt x="103918" y="636175"/>
                </a:lnTo>
                <a:cubicBezTo>
                  <a:pt x="101727" y="640271"/>
                  <a:pt x="101822" y="645128"/>
                  <a:pt x="104204" y="649129"/>
                </a:cubicBezTo>
                <a:cubicBezTo>
                  <a:pt x="106585" y="653129"/>
                  <a:pt x="110871" y="655511"/>
                  <a:pt x="115443" y="655511"/>
                </a:cubicBezTo>
                <a:lnTo>
                  <a:pt x="461201" y="655511"/>
                </a:lnTo>
                <a:cubicBezTo>
                  <a:pt x="466058" y="655511"/>
                  <a:pt x="470440" y="652844"/>
                  <a:pt x="472726" y="648557"/>
                </a:cubicBezTo>
                <a:lnTo>
                  <a:pt x="654272" y="310134"/>
                </a:lnTo>
                <a:cubicBezTo>
                  <a:pt x="656463" y="306038"/>
                  <a:pt x="656368" y="301181"/>
                  <a:pt x="653987" y="297180"/>
                </a:cubicBezTo>
                <a:close/>
                <a:moveTo>
                  <a:pt x="507587" y="317087"/>
                </a:moveTo>
                <a:lnTo>
                  <a:pt x="466725" y="393287"/>
                </a:lnTo>
                <a:lnTo>
                  <a:pt x="373571" y="393287"/>
                </a:lnTo>
                <a:lnTo>
                  <a:pt x="414433" y="317087"/>
                </a:lnTo>
                <a:lnTo>
                  <a:pt x="507587" y="317087"/>
                </a:lnTo>
                <a:close/>
                <a:moveTo>
                  <a:pt x="514731" y="514922"/>
                </a:moveTo>
                <a:lnTo>
                  <a:pt x="431197" y="514922"/>
                </a:lnTo>
                <a:lnTo>
                  <a:pt x="482441" y="419481"/>
                </a:lnTo>
                <a:lnTo>
                  <a:pt x="565976" y="419481"/>
                </a:lnTo>
                <a:lnTo>
                  <a:pt x="514731" y="514922"/>
                </a:lnTo>
                <a:close/>
                <a:moveTo>
                  <a:pt x="401479" y="514922"/>
                </a:moveTo>
                <a:lnTo>
                  <a:pt x="308324" y="514922"/>
                </a:lnTo>
                <a:lnTo>
                  <a:pt x="359569" y="419481"/>
                </a:lnTo>
                <a:lnTo>
                  <a:pt x="452723" y="419481"/>
                </a:lnTo>
                <a:lnTo>
                  <a:pt x="401479" y="514922"/>
                </a:lnTo>
                <a:close/>
                <a:moveTo>
                  <a:pt x="304991" y="317087"/>
                </a:moveTo>
                <a:lnTo>
                  <a:pt x="384715" y="317087"/>
                </a:lnTo>
                <a:lnTo>
                  <a:pt x="343852" y="393287"/>
                </a:lnTo>
                <a:lnTo>
                  <a:pt x="264128" y="393287"/>
                </a:lnTo>
                <a:lnTo>
                  <a:pt x="304991" y="317087"/>
                </a:lnTo>
                <a:close/>
                <a:moveTo>
                  <a:pt x="250031" y="419481"/>
                </a:moveTo>
                <a:lnTo>
                  <a:pt x="329756" y="419481"/>
                </a:lnTo>
                <a:lnTo>
                  <a:pt x="278511" y="514922"/>
                </a:lnTo>
                <a:lnTo>
                  <a:pt x="198787" y="514922"/>
                </a:lnTo>
                <a:lnTo>
                  <a:pt x="250031" y="419481"/>
                </a:lnTo>
                <a:close/>
                <a:moveTo>
                  <a:pt x="162592" y="264128"/>
                </a:moveTo>
                <a:cubicBezTo>
                  <a:pt x="162592" y="210026"/>
                  <a:pt x="206597" y="166021"/>
                  <a:pt x="260699" y="166021"/>
                </a:cubicBezTo>
                <a:cubicBezTo>
                  <a:pt x="314801" y="166021"/>
                  <a:pt x="358807" y="210026"/>
                  <a:pt x="358807" y="264128"/>
                </a:cubicBezTo>
                <a:cubicBezTo>
                  <a:pt x="358807" y="273272"/>
                  <a:pt x="357378" y="282226"/>
                  <a:pt x="354902" y="290894"/>
                </a:cubicBezTo>
                <a:lnTo>
                  <a:pt x="297085" y="290894"/>
                </a:lnTo>
                <a:cubicBezTo>
                  <a:pt x="292227" y="290894"/>
                  <a:pt x="287846" y="293561"/>
                  <a:pt x="285560" y="297847"/>
                </a:cubicBezTo>
                <a:lnTo>
                  <a:pt x="251555" y="361188"/>
                </a:lnTo>
                <a:cubicBezTo>
                  <a:pt x="201168" y="358045"/>
                  <a:pt x="162592" y="316611"/>
                  <a:pt x="162592" y="264224"/>
                </a:cubicBezTo>
                <a:close/>
                <a:moveTo>
                  <a:pt x="184785" y="541115"/>
                </a:moveTo>
                <a:lnTo>
                  <a:pt x="264509" y="541115"/>
                </a:lnTo>
                <a:lnTo>
                  <a:pt x="217170" y="629317"/>
                </a:lnTo>
                <a:lnTo>
                  <a:pt x="137351" y="629317"/>
                </a:lnTo>
                <a:lnTo>
                  <a:pt x="184690" y="541115"/>
                </a:lnTo>
                <a:close/>
                <a:moveTo>
                  <a:pt x="246983" y="629317"/>
                </a:moveTo>
                <a:lnTo>
                  <a:pt x="294323" y="541115"/>
                </a:lnTo>
                <a:lnTo>
                  <a:pt x="387477" y="541115"/>
                </a:lnTo>
                <a:lnTo>
                  <a:pt x="340138" y="629317"/>
                </a:lnTo>
                <a:lnTo>
                  <a:pt x="246983" y="629317"/>
                </a:lnTo>
                <a:close/>
                <a:moveTo>
                  <a:pt x="453485" y="629317"/>
                </a:moveTo>
                <a:lnTo>
                  <a:pt x="369951" y="629317"/>
                </a:lnTo>
                <a:lnTo>
                  <a:pt x="417290" y="541115"/>
                </a:lnTo>
                <a:lnTo>
                  <a:pt x="500825" y="541115"/>
                </a:lnTo>
                <a:lnTo>
                  <a:pt x="453485" y="629317"/>
                </a:lnTo>
                <a:close/>
                <a:moveTo>
                  <a:pt x="580073" y="393287"/>
                </a:moveTo>
                <a:lnTo>
                  <a:pt x="496538" y="393287"/>
                </a:lnTo>
                <a:lnTo>
                  <a:pt x="537401" y="317087"/>
                </a:lnTo>
                <a:lnTo>
                  <a:pt x="620935" y="317087"/>
                </a:lnTo>
                <a:lnTo>
                  <a:pt x="580073" y="393287"/>
                </a:lnTo>
                <a:close/>
              </a:path>
            </a:pathLst>
          </a:custGeom>
          <a:solidFill>
            <a:schemeClr val="tx1"/>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clientData/>
  </xdr:twoCellAnchor>
  <xdr:twoCellAnchor editAs="oneCell">
    <xdr:from>
      <xdr:col>15</xdr:col>
      <xdr:colOff>659541</xdr:colOff>
      <xdr:row>109</xdr:row>
      <xdr:rowOff>90755</xdr:rowOff>
    </xdr:from>
    <xdr:to>
      <xdr:col>16</xdr:col>
      <xdr:colOff>170793</xdr:colOff>
      <xdr:row>110</xdr:row>
      <xdr:rowOff>209234</xdr:rowOff>
    </xdr:to>
    <xdr:grpSp>
      <xdr:nvGrpSpPr>
        <xdr:cNvPr id="31" name="Group 30">
          <a:extLst>
            <a:ext uri="{FF2B5EF4-FFF2-40B4-BE49-F238E27FC236}">
              <a16:creationId xmlns:a16="http://schemas.microsoft.com/office/drawing/2014/main" id="{A95F4236-F3B8-4111-B925-73B9F7169C97}"/>
            </a:ext>
          </a:extLst>
        </xdr:cNvPr>
        <xdr:cNvGrpSpPr>
          <a:grpSpLocks/>
        </xdr:cNvGrpSpPr>
      </xdr:nvGrpSpPr>
      <xdr:grpSpPr>
        <a:xfrm>
          <a:off x="13229366" y="25360580"/>
          <a:ext cx="387552" cy="343904"/>
          <a:chOff x="7025492" y="5073082"/>
          <a:chExt cx="914400" cy="914400"/>
        </a:xfrm>
      </xdr:grpSpPr>
      <xdr:sp macro="" textlink="">
        <xdr:nvSpPr>
          <xdr:cNvPr id="32" name="Oval 31">
            <a:extLst>
              <a:ext uri="{FF2B5EF4-FFF2-40B4-BE49-F238E27FC236}">
                <a16:creationId xmlns:a16="http://schemas.microsoft.com/office/drawing/2014/main" id="{AA69435E-F511-587B-2EFC-6D312946BA93}"/>
              </a:ext>
            </a:extLst>
          </xdr:cNvPr>
          <xdr:cNvSpPr/>
        </xdr:nvSpPr>
        <xdr:spPr>
          <a:xfrm>
            <a:off x="7025492" y="5073082"/>
            <a:ext cx="914400" cy="914400"/>
          </a:xfrm>
          <a:prstGeom prst="ellipse">
            <a:avLst/>
          </a:prstGeom>
          <a:solidFill>
            <a:schemeClr val="accent6">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grpSp>
        <xdr:nvGrpSpPr>
          <xdr:cNvPr id="33" name="Group 32">
            <a:extLst>
              <a:ext uri="{FF2B5EF4-FFF2-40B4-BE49-F238E27FC236}">
                <a16:creationId xmlns:a16="http://schemas.microsoft.com/office/drawing/2014/main" id="{1F421C93-89BC-FF83-A8A2-33401E5937FD}"/>
              </a:ext>
            </a:extLst>
          </xdr:cNvPr>
          <xdr:cNvGrpSpPr>
            <a:grpSpLocks noChangeAspect="1"/>
          </xdr:cNvGrpSpPr>
        </xdr:nvGrpSpPr>
        <xdr:grpSpPr>
          <a:xfrm>
            <a:off x="7227801" y="5206264"/>
            <a:ext cx="509782" cy="647997"/>
            <a:chOff x="9076572" y="5123951"/>
            <a:chExt cx="656266" cy="834201"/>
          </a:xfrm>
          <a:solidFill>
            <a:schemeClr val="tx1"/>
          </a:solidFill>
        </xdr:grpSpPr>
        <xdr:sp macro="" textlink="">
          <xdr:nvSpPr>
            <xdr:cNvPr id="34" name="Freeform: Shape 33">
              <a:extLst>
                <a:ext uri="{FF2B5EF4-FFF2-40B4-BE49-F238E27FC236}">
                  <a16:creationId xmlns:a16="http://schemas.microsoft.com/office/drawing/2014/main" id="{160EBFCF-910D-41BF-E801-8C50A752A9DC}"/>
                </a:ext>
              </a:extLst>
            </xdr:cNvPr>
            <xdr:cNvSpPr/>
          </xdr:nvSpPr>
          <xdr:spPr>
            <a:xfrm>
              <a:off x="9076572" y="5869035"/>
              <a:ext cx="656266" cy="89117"/>
            </a:xfrm>
            <a:custGeom>
              <a:avLst/>
              <a:gdLst>
                <a:gd name="connsiteX0" fmla="*/ 485514 w 656266"/>
                <a:gd name="connsiteY0" fmla="*/ 32575 h 89117"/>
                <a:gd name="connsiteX1" fmla="*/ 514851 w 656266"/>
                <a:gd name="connsiteY1" fmla="*/ 64579 h 89117"/>
                <a:gd name="connsiteX2" fmla="*/ 570477 w 656266"/>
                <a:gd name="connsiteY2" fmla="*/ 89059 h 89117"/>
                <a:gd name="connsiteX3" fmla="*/ 618007 w 656266"/>
                <a:gd name="connsiteY3" fmla="*/ 72104 h 89117"/>
                <a:gd name="connsiteX4" fmla="*/ 651440 w 656266"/>
                <a:gd name="connsiteY4" fmla="*/ 44767 h 89117"/>
                <a:gd name="connsiteX5" fmla="*/ 653250 w 656266"/>
                <a:gd name="connsiteY5" fmla="*/ 26289 h 89117"/>
                <a:gd name="connsiteX6" fmla="*/ 634771 w 656266"/>
                <a:gd name="connsiteY6" fmla="*/ 24479 h 89117"/>
                <a:gd name="connsiteX7" fmla="*/ 601338 w 656266"/>
                <a:gd name="connsiteY7" fmla="*/ 51816 h 89117"/>
                <a:gd name="connsiteX8" fmla="*/ 534092 w 656266"/>
                <a:gd name="connsiteY8" fmla="*/ 46863 h 89117"/>
                <a:gd name="connsiteX9" fmla="*/ 495039 w 656266"/>
                <a:gd name="connsiteY9" fmla="*/ 4286 h 89117"/>
                <a:gd name="connsiteX10" fmla="*/ 485324 w 656266"/>
                <a:gd name="connsiteY10" fmla="*/ 0 h 89117"/>
                <a:gd name="connsiteX11" fmla="*/ 475608 w 656266"/>
                <a:gd name="connsiteY11" fmla="*/ 4286 h 89117"/>
                <a:gd name="connsiteX12" fmla="*/ 442842 w 656266"/>
                <a:gd name="connsiteY12" fmla="*/ 40100 h 89117"/>
                <a:gd name="connsiteX13" fmla="*/ 406552 w 656266"/>
                <a:gd name="connsiteY13" fmla="*/ 56197 h 89117"/>
                <a:gd name="connsiteX14" fmla="*/ 370262 w 656266"/>
                <a:gd name="connsiteY14" fmla="*/ 40100 h 89117"/>
                <a:gd name="connsiteX15" fmla="*/ 337591 w 656266"/>
                <a:gd name="connsiteY15" fmla="*/ 4286 h 89117"/>
                <a:gd name="connsiteX16" fmla="*/ 327876 w 656266"/>
                <a:gd name="connsiteY16" fmla="*/ 0 h 89117"/>
                <a:gd name="connsiteX17" fmla="*/ 318160 w 656266"/>
                <a:gd name="connsiteY17" fmla="*/ 4286 h 89117"/>
                <a:gd name="connsiteX18" fmla="*/ 285489 w 656266"/>
                <a:gd name="connsiteY18" fmla="*/ 40100 h 89117"/>
                <a:gd name="connsiteX19" fmla="*/ 249199 w 656266"/>
                <a:gd name="connsiteY19" fmla="*/ 56293 h 89117"/>
                <a:gd name="connsiteX20" fmla="*/ 249199 w 656266"/>
                <a:gd name="connsiteY20" fmla="*/ 56293 h 89117"/>
                <a:gd name="connsiteX21" fmla="*/ 212909 w 656266"/>
                <a:gd name="connsiteY21" fmla="*/ 40195 h 89117"/>
                <a:gd name="connsiteX22" fmla="*/ 180238 w 656266"/>
                <a:gd name="connsiteY22" fmla="*/ 4381 h 89117"/>
                <a:gd name="connsiteX23" fmla="*/ 170523 w 656266"/>
                <a:gd name="connsiteY23" fmla="*/ 95 h 89117"/>
                <a:gd name="connsiteX24" fmla="*/ 160807 w 656266"/>
                <a:gd name="connsiteY24" fmla="*/ 4381 h 89117"/>
                <a:gd name="connsiteX25" fmla="*/ 121945 w 656266"/>
                <a:gd name="connsiteY25" fmla="*/ 46863 h 89117"/>
                <a:gd name="connsiteX26" fmla="*/ 54699 w 656266"/>
                <a:gd name="connsiteY26" fmla="*/ 51816 h 89117"/>
                <a:gd name="connsiteX27" fmla="*/ 21456 w 656266"/>
                <a:gd name="connsiteY27" fmla="*/ 24574 h 89117"/>
                <a:gd name="connsiteX28" fmla="*/ 2978 w 656266"/>
                <a:gd name="connsiteY28" fmla="*/ 26384 h 89117"/>
                <a:gd name="connsiteX29" fmla="*/ 4788 w 656266"/>
                <a:gd name="connsiteY29" fmla="*/ 44863 h 89117"/>
                <a:gd name="connsiteX30" fmla="*/ 38030 w 656266"/>
                <a:gd name="connsiteY30" fmla="*/ 72104 h 89117"/>
                <a:gd name="connsiteX31" fmla="*/ 141281 w 656266"/>
                <a:gd name="connsiteY31" fmla="*/ 64579 h 89117"/>
                <a:gd name="connsiteX32" fmla="*/ 170427 w 656266"/>
                <a:gd name="connsiteY32" fmla="*/ 32671 h 89117"/>
                <a:gd name="connsiteX33" fmla="*/ 193478 w 656266"/>
                <a:gd name="connsiteY33" fmla="*/ 57817 h 89117"/>
                <a:gd name="connsiteX34" fmla="*/ 249104 w 656266"/>
                <a:gd name="connsiteY34" fmla="*/ 82487 h 89117"/>
                <a:gd name="connsiteX35" fmla="*/ 249104 w 656266"/>
                <a:gd name="connsiteY35" fmla="*/ 82487 h 89117"/>
                <a:gd name="connsiteX36" fmla="*/ 304730 w 656266"/>
                <a:gd name="connsiteY36" fmla="*/ 57817 h 89117"/>
                <a:gd name="connsiteX37" fmla="*/ 327780 w 656266"/>
                <a:gd name="connsiteY37" fmla="*/ 32671 h 89117"/>
                <a:gd name="connsiteX38" fmla="*/ 350831 w 656266"/>
                <a:gd name="connsiteY38" fmla="*/ 57817 h 89117"/>
                <a:gd name="connsiteX39" fmla="*/ 406457 w 656266"/>
                <a:gd name="connsiteY39" fmla="*/ 82487 h 89117"/>
                <a:gd name="connsiteX40" fmla="*/ 406457 w 656266"/>
                <a:gd name="connsiteY40" fmla="*/ 82487 h 89117"/>
                <a:gd name="connsiteX41" fmla="*/ 462083 w 656266"/>
                <a:gd name="connsiteY41" fmla="*/ 57817 h 89117"/>
                <a:gd name="connsiteX42" fmla="*/ 485133 w 656266"/>
                <a:gd name="connsiteY42" fmla="*/ 32575 h 89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656266" h="89117">
                  <a:moveTo>
                    <a:pt x="485514" y="32575"/>
                  </a:moveTo>
                  <a:lnTo>
                    <a:pt x="514851" y="64579"/>
                  </a:lnTo>
                  <a:cubicBezTo>
                    <a:pt x="529710" y="80772"/>
                    <a:pt x="550094" y="89059"/>
                    <a:pt x="570477" y="89059"/>
                  </a:cubicBezTo>
                  <a:cubicBezTo>
                    <a:pt x="587241" y="89059"/>
                    <a:pt x="604101" y="83534"/>
                    <a:pt x="618007" y="72104"/>
                  </a:cubicBezTo>
                  <a:lnTo>
                    <a:pt x="651440" y="44767"/>
                  </a:lnTo>
                  <a:cubicBezTo>
                    <a:pt x="657060" y="40195"/>
                    <a:pt x="657917" y="31909"/>
                    <a:pt x="653250" y="26289"/>
                  </a:cubicBezTo>
                  <a:cubicBezTo>
                    <a:pt x="648678" y="20669"/>
                    <a:pt x="640391" y="19812"/>
                    <a:pt x="634771" y="24479"/>
                  </a:cubicBezTo>
                  <a:lnTo>
                    <a:pt x="601338" y="51816"/>
                  </a:lnTo>
                  <a:cubicBezTo>
                    <a:pt x="580955" y="68485"/>
                    <a:pt x="551999" y="66389"/>
                    <a:pt x="534092" y="46863"/>
                  </a:cubicBezTo>
                  <a:lnTo>
                    <a:pt x="495039" y="4286"/>
                  </a:lnTo>
                  <a:cubicBezTo>
                    <a:pt x="492563" y="1619"/>
                    <a:pt x="489039" y="0"/>
                    <a:pt x="485324" y="0"/>
                  </a:cubicBezTo>
                  <a:cubicBezTo>
                    <a:pt x="481609" y="0"/>
                    <a:pt x="478085" y="1524"/>
                    <a:pt x="475608" y="4286"/>
                  </a:cubicBezTo>
                  <a:lnTo>
                    <a:pt x="442842" y="40100"/>
                  </a:lnTo>
                  <a:cubicBezTo>
                    <a:pt x="433317" y="50482"/>
                    <a:pt x="420458" y="56197"/>
                    <a:pt x="406552" y="56197"/>
                  </a:cubicBezTo>
                  <a:cubicBezTo>
                    <a:pt x="392646" y="56197"/>
                    <a:pt x="379787" y="50482"/>
                    <a:pt x="370262" y="40100"/>
                  </a:cubicBezTo>
                  <a:lnTo>
                    <a:pt x="337591" y="4286"/>
                  </a:lnTo>
                  <a:cubicBezTo>
                    <a:pt x="335115" y="1524"/>
                    <a:pt x="331590" y="0"/>
                    <a:pt x="327876" y="0"/>
                  </a:cubicBezTo>
                  <a:cubicBezTo>
                    <a:pt x="324161" y="0"/>
                    <a:pt x="320637" y="1524"/>
                    <a:pt x="318160" y="4286"/>
                  </a:cubicBezTo>
                  <a:lnTo>
                    <a:pt x="285489" y="40100"/>
                  </a:lnTo>
                  <a:cubicBezTo>
                    <a:pt x="275964" y="50482"/>
                    <a:pt x="263106" y="56293"/>
                    <a:pt x="249199" y="56293"/>
                  </a:cubicBezTo>
                  <a:lnTo>
                    <a:pt x="249199" y="56293"/>
                  </a:lnTo>
                  <a:cubicBezTo>
                    <a:pt x="235293" y="56293"/>
                    <a:pt x="222434" y="50578"/>
                    <a:pt x="212909" y="40195"/>
                  </a:cubicBezTo>
                  <a:lnTo>
                    <a:pt x="180238" y="4381"/>
                  </a:lnTo>
                  <a:cubicBezTo>
                    <a:pt x="177762" y="1619"/>
                    <a:pt x="174237" y="95"/>
                    <a:pt x="170523" y="95"/>
                  </a:cubicBezTo>
                  <a:cubicBezTo>
                    <a:pt x="166808" y="95"/>
                    <a:pt x="163284" y="1619"/>
                    <a:pt x="160807" y="4381"/>
                  </a:cubicBezTo>
                  <a:lnTo>
                    <a:pt x="121945" y="46863"/>
                  </a:lnTo>
                  <a:cubicBezTo>
                    <a:pt x="104324" y="66199"/>
                    <a:pt x="74796" y="68294"/>
                    <a:pt x="54699" y="51816"/>
                  </a:cubicBezTo>
                  <a:lnTo>
                    <a:pt x="21456" y="24574"/>
                  </a:lnTo>
                  <a:cubicBezTo>
                    <a:pt x="15837" y="20002"/>
                    <a:pt x="7645" y="20764"/>
                    <a:pt x="2978" y="26384"/>
                  </a:cubicBezTo>
                  <a:cubicBezTo>
                    <a:pt x="-1594" y="32004"/>
                    <a:pt x="-832" y="40195"/>
                    <a:pt x="4788" y="44863"/>
                  </a:cubicBezTo>
                  <a:lnTo>
                    <a:pt x="38030" y="72104"/>
                  </a:lnTo>
                  <a:cubicBezTo>
                    <a:pt x="68891" y="97441"/>
                    <a:pt x="114230" y="94107"/>
                    <a:pt x="141281" y="64579"/>
                  </a:cubicBezTo>
                  <a:lnTo>
                    <a:pt x="170427" y="32671"/>
                  </a:lnTo>
                  <a:lnTo>
                    <a:pt x="193478" y="57817"/>
                  </a:lnTo>
                  <a:cubicBezTo>
                    <a:pt x="207861" y="73533"/>
                    <a:pt x="228054" y="82487"/>
                    <a:pt x="249104" y="82487"/>
                  </a:cubicBezTo>
                  <a:lnTo>
                    <a:pt x="249104" y="82487"/>
                  </a:lnTo>
                  <a:cubicBezTo>
                    <a:pt x="270154" y="82487"/>
                    <a:pt x="290347" y="73438"/>
                    <a:pt x="304730" y="57817"/>
                  </a:cubicBezTo>
                  <a:lnTo>
                    <a:pt x="327780" y="32671"/>
                  </a:lnTo>
                  <a:lnTo>
                    <a:pt x="350831" y="57817"/>
                  </a:lnTo>
                  <a:cubicBezTo>
                    <a:pt x="365118" y="73533"/>
                    <a:pt x="385407" y="82487"/>
                    <a:pt x="406457" y="82487"/>
                  </a:cubicBezTo>
                  <a:lnTo>
                    <a:pt x="406457" y="82487"/>
                  </a:lnTo>
                  <a:cubicBezTo>
                    <a:pt x="427507" y="82487"/>
                    <a:pt x="447700" y="73533"/>
                    <a:pt x="462083" y="57817"/>
                  </a:cubicBezTo>
                  <a:lnTo>
                    <a:pt x="485133" y="32575"/>
                  </a:ln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sp macro="" textlink="">
          <xdr:nvSpPr>
            <xdr:cNvPr id="35" name="Freeform: Shape 34">
              <a:extLst>
                <a:ext uri="{FF2B5EF4-FFF2-40B4-BE49-F238E27FC236}">
                  <a16:creationId xmlns:a16="http://schemas.microsoft.com/office/drawing/2014/main" id="{158AD2C3-C0FC-5449-E8CA-D4B4121EB829}"/>
                </a:ext>
              </a:extLst>
            </xdr:cNvPr>
            <xdr:cNvSpPr/>
          </xdr:nvSpPr>
          <xdr:spPr>
            <a:xfrm>
              <a:off x="9174502" y="5123951"/>
              <a:ext cx="460407" cy="655986"/>
            </a:xfrm>
            <a:custGeom>
              <a:avLst/>
              <a:gdLst>
                <a:gd name="connsiteX0" fmla="*/ 453797 w 460407"/>
                <a:gd name="connsiteY0" fmla="*/ 331756 h 655986"/>
                <a:gd name="connsiteX1" fmla="*/ 290158 w 460407"/>
                <a:gd name="connsiteY1" fmla="*/ 240125 h 655986"/>
                <a:gd name="connsiteX2" fmla="*/ 291205 w 460407"/>
                <a:gd name="connsiteY2" fmla="*/ 230219 h 655986"/>
                <a:gd name="connsiteX3" fmla="*/ 247771 w 460407"/>
                <a:gd name="connsiteY3" fmla="*/ 175355 h 655986"/>
                <a:gd name="connsiteX4" fmla="*/ 247771 w 460407"/>
                <a:gd name="connsiteY4" fmla="*/ 13145 h 655986"/>
                <a:gd name="connsiteX5" fmla="*/ 234627 w 460407"/>
                <a:gd name="connsiteY5" fmla="*/ 0 h 655986"/>
                <a:gd name="connsiteX6" fmla="*/ 221482 w 460407"/>
                <a:gd name="connsiteY6" fmla="*/ 13145 h 655986"/>
                <a:gd name="connsiteX7" fmla="*/ 221482 w 460407"/>
                <a:gd name="connsiteY7" fmla="*/ 175451 h 655986"/>
                <a:gd name="connsiteX8" fmla="*/ 178048 w 460407"/>
                <a:gd name="connsiteY8" fmla="*/ 230315 h 655986"/>
                <a:gd name="connsiteX9" fmla="*/ 180906 w 460407"/>
                <a:gd name="connsiteY9" fmla="*/ 247269 h 655986"/>
                <a:gd name="connsiteX10" fmla="*/ 179001 w 460407"/>
                <a:gd name="connsiteY10" fmla="*/ 247745 h 655986"/>
                <a:gd name="connsiteX11" fmla="*/ 7360 w 460407"/>
                <a:gd name="connsiteY11" fmla="*/ 331470 h 655986"/>
                <a:gd name="connsiteX12" fmla="*/ 1360 w 460407"/>
                <a:gd name="connsiteY12" fmla="*/ 348996 h 655986"/>
                <a:gd name="connsiteX13" fmla="*/ 13171 w 460407"/>
                <a:gd name="connsiteY13" fmla="*/ 356330 h 655986"/>
                <a:gd name="connsiteX14" fmla="*/ 18886 w 460407"/>
                <a:gd name="connsiteY14" fmla="*/ 354997 h 655986"/>
                <a:gd name="connsiteX15" fmla="*/ 190526 w 460407"/>
                <a:gd name="connsiteY15" fmla="*/ 271272 h 655986"/>
                <a:gd name="connsiteX16" fmla="*/ 193574 w 460407"/>
                <a:gd name="connsiteY16" fmla="*/ 268986 h 655986"/>
                <a:gd name="connsiteX17" fmla="*/ 221578 w 460407"/>
                <a:gd name="connsiteY17" fmla="*/ 285179 h 655986"/>
                <a:gd name="connsiteX18" fmla="*/ 221482 w 460407"/>
                <a:gd name="connsiteY18" fmla="*/ 285845 h 655986"/>
                <a:gd name="connsiteX19" fmla="*/ 221482 w 460407"/>
                <a:gd name="connsiteY19" fmla="*/ 629698 h 655986"/>
                <a:gd name="connsiteX20" fmla="*/ 160713 w 460407"/>
                <a:gd name="connsiteY20" fmla="*/ 629698 h 655986"/>
                <a:gd name="connsiteX21" fmla="*/ 147568 w 460407"/>
                <a:gd name="connsiteY21" fmla="*/ 642842 h 655986"/>
                <a:gd name="connsiteX22" fmla="*/ 160713 w 460407"/>
                <a:gd name="connsiteY22" fmla="*/ 655987 h 655986"/>
                <a:gd name="connsiteX23" fmla="*/ 308446 w 460407"/>
                <a:gd name="connsiteY23" fmla="*/ 655987 h 655986"/>
                <a:gd name="connsiteX24" fmla="*/ 321590 w 460407"/>
                <a:gd name="connsiteY24" fmla="*/ 642842 h 655986"/>
                <a:gd name="connsiteX25" fmla="*/ 308446 w 460407"/>
                <a:gd name="connsiteY25" fmla="*/ 629698 h 655986"/>
                <a:gd name="connsiteX26" fmla="*/ 247676 w 460407"/>
                <a:gd name="connsiteY26" fmla="*/ 629698 h 655986"/>
                <a:gd name="connsiteX27" fmla="*/ 247676 w 460407"/>
                <a:gd name="connsiteY27" fmla="*/ 285750 h 655986"/>
                <a:gd name="connsiteX28" fmla="*/ 247581 w 460407"/>
                <a:gd name="connsiteY28" fmla="*/ 285083 h 655986"/>
                <a:gd name="connsiteX29" fmla="*/ 279490 w 460407"/>
                <a:gd name="connsiteY29" fmla="*/ 264224 h 655986"/>
                <a:gd name="connsiteX30" fmla="*/ 440938 w 460407"/>
                <a:gd name="connsiteY30" fmla="*/ 354616 h 655986"/>
                <a:gd name="connsiteX31" fmla="*/ 447320 w 460407"/>
                <a:gd name="connsiteY31" fmla="*/ 356330 h 655986"/>
                <a:gd name="connsiteX32" fmla="*/ 458750 w 460407"/>
                <a:gd name="connsiteY32" fmla="*/ 349663 h 655986"/>
                <a:gd name="connsiteX33" fmla="*/ 453702 w 460407"/>
                <a:gd name="connsiteY33" fmla="*/ 331851 h 655986"/>
                <a:gd name="connsiteX34" fmla="*/ 234627 w 460407"/>
                <a:gd name="connsiteY34" fmla="*/ 260509 h 655986"/>
                <a:gd name="connsiteX35" fmla="*/ 204337 w 460407"/>
                <a:gd name="connsiteY35" fmla="*/ 230219 h 655986"/>
                <a:gd name="connsiteX36" fmla="*/ 234627 w 460407"/>
                <a:gd name="connsiteY36" fmla="*/ 199930 h 655986"/>
                <a:gd name="connsiteX37" fmla="*/ 264916 w 460407"/>
                <a:gd name="connsiteY37" fmla="*/ 230219 h 655986"/>
                <a:gd name="connsiteX38" fmla="*/ 234627 w 460407"/>
                <a:gd name="connsiteY38" fmla="*/ 260509 h 6559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Lst>
              <a:rect l="l" t="t" r="r" b="b"/>
              <a:pathLst>
                <a:path w="460407" h="655986">
                  <a:moveTo>
                    <a:pt x="453797" y="331756"/>
                  </a:moveTo>
                  <a:lnTo>
                    <a:pt x="290158" y="240125"/>
                  </a:lnTo>
                  <a:cubicBezTo>
                    <a:pt x="290729" y="236887"/>
                    <a:pt x="291205" y="233553"/>
                    <a:pt x="291205" y="230219"/>
                  </a:cubicBezTo>
                  <a:cubicBezTo>
                    <a:pt x="291205" y="203549"/>
                    <a:pt x="272632" y="181356"/>
                    <a:pt x="247771" y="175355"/>
                  </a:cubicBezTo>
                  <a:lnTo>
                    <a:pt x="247771" y="13145"/>
                  </a:lnTo>
                  <a:cubicBezTo>
                    <a:pt x="247771" y="5906"/>
                    <a:pt x="241866" y="0"/>
                    <a:pt x="234627" y="0"/>
                  </a:cubicBezTo>
                  <a:cubicBezTo>
                    <a:pt x="227388" y="0"/>
                    <a:pt x="221482" y="5906"/>
                    <a:pt x="221482" y="13145"/>
                  </a:cubicBezTo>
                  <a:lnTo>
                    <a:pt x="221482" y="175451"/>
                  </a:lnTo>
                  <a:cubicBezTo>
                    <a:pt x="196622" y="181356"/>
                    <a:pt x="178048" y="203645"/>
                    <a:pt x="178048" y="230315"/>
                  </a:cubicBezTo>
                  <a:cubicBezTo>
                    <a:pt x="178048" y="236315"/>
                    <a:pt x="179191" y="241935"/>
                    <a:pt x="180906" y="247269"/>
                  </a:cubicBezTo>
                  <a:cubicBezTo>
                    <a:pt x="180239" y="247460"/>
                    <a:pt x="179668" y="247460"/>
                    <a:pt x="179001" y="247745"/>
                  </a:cubicBezTo>
                  <a:lnTo>
                    <a:pt x="7360" y="331470"/>
                  </a:lnTo>
                  <a:cubicBezTo>
                    <a:pt x="883" y="334613"/>
                    <a:pt x="-1879" y="342519"/>
                    <a:pt x="1360" y="348996"/>
                  </a:cubicBezTo>
                  <a:cubicBezTo>
                    <a:pt x="3646" y="353663"/>
                    <a:pt x="8313" y="356330"/>
                    <a:pt x="13171" y="356330"/>
                  </a:cubicBezTo>
                  <a:cubicBezTo>
                    <a:pt x="15076" y="356330"/>
                    <a:pt x="17076" y="355949"/>
                    <a:pt x="18886" y="354997"/>
                  </a:cubicBezTo>
                  <a:lnTo>
                    <a:pt x="190526" y="271272"/>
                  </a:lnTo>
                  <a:cubicBezTo>
                    <a:pt x="191764" y="270701"/>
                    <a:pt x="192622" y="269843"/>
                    <a:pt x="193574" y="268986"/>
                  </a:cubicBezTo>
                  <a:cubicBezTo>
                    <a:pt x="201004" y="276892"/>
                    <a:pt x="210624" y="282607"/>
                    <a:pt x="221578" y="285179"/>
                  </a:cubicBezTo>
                  <a:cubicBezTo>
                    <a:pt x="221578" y="285369"/>
                    <a:pt x="221482" y="285560"/>
                    <a:pt x="221482" y="285845"/>
                  </a:cubicBezTo>
                  <a:lnTo>
                    <a:pt x="221482" y="629698"/>
                  </a:lnTo>
                  <a:lnTo>
                    <a:pt x="160713" y="629698"/>
                  </a:lnTo>
                  <a:cubicBezTo>
                    <a:pt x="153474" y="629698"/>
                    <a:pt x="147568" y="635603"/>
                    <a:pt x="147568" y="642842"/>
                  </a:cubicBezTo>
                  <a:cubicBezTo>
                    <a:pt x="147568" y="650081"/>
                    <a:pt x="153474" y="655987"/>
                    <a:pt x="160713" y="655987"/>
                  </a:cubicBezTo>
                  <a:lnTo>
                    <a:pt x="308446" y="655987"/>
                  </a:lnTo>
                  <a:cubicBezTo>
                    <a:pt x="315685" y="655987"/>
                    <a:pt x="321590" y="650081"/>
                    <a:pt x="321590" y="642842"/>
                  </a:cubicBezTo>
                  <a:cubicBezTo>
                    <a:pt x="321590" y="635603"/>
                    <a:pt x="315685" y="629698"/>
                    <a:pt x="308446" y="629698"/>
                  </a:cubicBezTo>
                  <a:lnTo>
                    <a:pt x="247676" y="629698"/>
                  </a:lnTo>
                  <a:lnTo>
                    <a:pt x="247676" y="285750"/>
                  </a:lnTo>
                  <a:cubicBezTo>
                    <a:pt x="247676" y="285750"/>
                    <a:pt x="247581" y="285369"/>
                    <a:pt x="247581" y="285083"/>
                  </a:cubicBezTo>
                  <a:cubicBezTo>
                    <a:pt x="260535" y="282035"/>
                    <a:pt x="271679" y="274511"/>
                    <a:pt x="279490" y="264224"/>
                  </a:cubicBezTo>
                  <a:lnTo>
                    <a:pt x="440938" y="354616"/>
                  </a:lnTo>
                  <a:cubicBezTo>
                    <a:pt x="442939" y="355759"/>
                    <a:pt x="445129" y="356330"/>
                    <a:pt x="447320" y="356330"/>
                  </a:cubicBezTo>
                  <a:cubicBezTo>
                    <a:pt x="451892" y="356330"/>
                    <a:pt x="456369" y="353949"/>
                    <a:pt x="458750" y="349663"/>
                  </a:cubicBezTo>
                  <a:cubicBezTo>
                    <a:pt x="462274" y="343376"/>
                    <a:pt x="459988" y="335375"/>
                    <a:pt x="453702" y="331851"/>
                  </a:cubicBezTo>
                  <a:close/>
                  <a:moveTo>
                    <a:pt x="234627" y="260509"/>
                  </a:moveTo>
                  <a:cubicBezTo>
                    <a:pt x="217958" y="260509"/>
                    <a:pt x="204337" y="246888"/>
                    <a:pt x="204337" y="230219"/>
                  </a:cubicBezTo>
                  <a:cubicBezTo>
                    <a:pt x="204337" y="213551"/>
                    <a:pt x="217958" y="199930"/>
                    <a:pt x="234627" y="199930"/>
                  </a:cubicBezTo>
                  <a:cubicBezTo>
                    <a:pt x="251296" y="199930"/>
                    <a:pt x="264916" y="213551"/>
                    <a:pt x="264916" y="230219"/>
                  </a:cubicBezTo>
                  <a:cubicBezTo>
                    <a:pt x="264916" y="246888"/>
                    <a:pt x="251296" y="260509"/>
                    <a:pt x="234627" y="260509"/>
                  </a:cubicBezTo>
                  <a:close/>
                </a:path>
              </a:pathLst>
            </a:custGeom>
            <a:grp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PT"/>
            </a:p>
          </xdr:txBody>
        </xdr:sp>
      </xdr:grpSp>
    </xdr:grpSp>
    <xdr:clientData/>
  </xdr:twoCellAnchor>
  <xdr:twoCellAnchor editAs="oneCell">
    <xdr:from>
      <xdr:col>15</xdr:col>
      <xdr:colOff>623214</xdr:colOff>
      <xdr:row>107</xdr:row>
      <xdr:rowOff>135404</xdr:rowOff>
    </xdr:from>
    <xdr:to>
      <xdr:col>16</xdr:col>
      <xdr:colOff>168756</xdr:colOff>
      <xdr:row>109</xdr:row>
      <xdr:rowOff>40614</xdr:rowOff>
    </xdr:to>
    <xdr:grpSp>
      <xdr:nvGrpSpPr>
        <xdr:cNvPr id="36" name="Group 35">
          <a:extLst>
            <a:ext uri="{FF2B5EF4-FFF2-40B4-BE49-F238E27FC236}">
              <a16:creationId xmlns:a16="http://schemas.microsoft.com/office/drawing/2014/main" id="{C4509CD9-F524-4AC7-8636-8D5C553EE6C2}"/>
            </a:ext>
          </a:extLst>
        </xdr:cNvPr>
        <xdr:cNvGrpSpPr>
          <a:grpSpLocks/>
        </xdr:cNvGrpSpPr>
      </xdr:nvGrpSpPr>
      <xdr:grpSpPr>
        <a:xfrm>
          <a:off x="13193039" y="24963904"/>
          <a:ext cx="421842" cy="349710"/>
          <a:chOff x="5929446" y="4795882"/>
          <a:chExt cx="914400" cy="914400"/>
        </a:xfrm>
      </xdr:grpSpPr>
      <xdr:sp macro="" textlink="">
        <xdr:nvSpPr>
          <xdr:cNvPr id="37" name="Oval 36">
            <a:extLst>
              <a:ext uri="{FF2B5EF4-FFF2-40B4-BE49-F238E27FC236}">
                <a16:creationId xmlns:a16="http://schemas.microsoft.com/office/drawing/2014/main" id="{CCEF316B-FE5A-2DAE-5F42-63C5B92B8C9E}"/>
              </a:ext>
            </a:extLst>
          </xdr:cNvPr>
          <xdr:cNvSpPr/>
        </xdr:nvSpPr>
        <xdr:spPr>
          <a:xfrm>
            <a:off x="5929446" y="4795882"/>
            <a:ext cx="914400" cy="914400"/>
          </a:xfrm>
          <a:prstGeom prst="ellipse">
            <a:avLst/>
          </a:prstGeom>
          <a:solidFill>
            <a:schemeClr val="accent3">
              <a:lumMod val="40000"/>
              <a:lumOff val="60000"/>
            </a:schemeClr>
          </a:solidFill>
          <a:ln w="6350" cap="sq">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300"/>
              </a:spcBef>
              <a:spcAft>
                <a:spcPts val="300"/>
              </a:spcAft>
            </a:pPr>
            <a:endParaRPr lang="en-GB" sz="1600">
              <a:solidFill>
                <a:schemeClr val="bg1"/>
              </a:solidFill>
            </a:endParaRPr>
          </a:p>
        </xdr:txBody>
      </xdr:sp>
      <xdr:pic>
        <xdr:nvPicPr>
          <xdr:cNvPr id="38" name="Graphic 96">
            <a:extLst>
              <a:ext uri="{FF2B5EF4-FFF2-40B4-BE49-F238E27FC236}">
                <a16:creationId xmlns:a16="http://schemas.microsoft.com/office/drawing/2014/main" id="{1E12D37B-6397-DEEC-FF6F-444A9C9BF4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068046" y="4934482"/>
            <a:ext cx="637200" cy="637200"/>
          </a:xfrm>
          <a:prstGeom prst="rect">
            <a:avLst/>
          </a:prstGeom>
        </xdr:spPr>
      </xdr:pic>
    </xdr:grpSp>
    <xdr:clientData/>
  </xdr:twoCellAnchor>
  <xdr:twoCellAnchor editAs="oneCell">
    <xdr:from>
      <xdr:col>15</xdr:col>
      <xdr:colOff>0</xdr:colOff>
      <xdr:row>97</xdr:row>
      <xdr:rowOff>0</xdr:rowOff>
    </xdr:from>
    <xdr:to>
      <xdr:col>16</xdr:col>
      <xdr:colOff>799390</xdr:colOff>
      <xdr:row>98</xdr:row>
      <xdr:rowOff>174482</xdr:rowOff>
    </xdr:to>
    <xdr:pic>
      <xdr:nvPicPr>
        <xdr:cNvPr id="39" name="Picture 38">
          <a:extLst>
            <a:ext uri="{FF2B5EF4-FFF2-40B4-BE49-F238E27FC236}">
              <a16:creationId xmlns:a16="http://schemas.microsoft.com/office/drawing/2014/main" id="{DC06CD96-5745-45CD-BA41-9D6DF9C2BDB2}"/>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630150" y="22675850"/>
          <a:ext cx="1675690" cy="822182"/>
        </a:xfrm>
        <a:prstGeom prst="rect">
          <a:avLst/>
        </a:prstGeom>
      </xdr:spPr>
    </xdr:pic>
    <xdr:clientData/>
  </xdr:twoCellAnchor>
  <xdr:twoCellAnchor editAs="oneCell">
    <xdr:from>
      <xdr:col>15</xdr:col>
      <xdr:colOff>0</xdr:colOff>
      <xdr:row>6</xdr:row>
      <xdr:rowOff>0</xdr:rowOff>
    </xdr:from>
    <xdr:to>
      <xdr:col>16</xdr:col>
      <xdr:colOff>799390</xdr:colOff>
      <xdr:row>7</xdr:row>
      <xdr:rowOff>174482</xdr:rowOff>
    </xdr:to>
    <xdr:pic>
      <xdr:nvPicPr>
        <xdr:cNvPr id="40" name="Picture 39">
          <a:extLst>
            <a:ext uri="{FF2B5EF4-FFF2-40B4-BE49-F238E27FC236}">
              <a16:creationId xmlns:a16="http://schemas.microsoft.com/office/drawing/2014/main" id="{54A57C29-932B-4C3B-98FC-CAB34F130142}"/>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2630150" y="1371600"/>
          <a:ext cx="1675690" cy="822182"/>
        </a:xfrm>
        <a:prstGeom prst="rect">
          <a:avLst/>
        </a:prstGeom>
      </xdr:spPr>
    </xdr:pic>
    <xdr:clientData/>
  </xdr:twoCellAnchor>
  <xdr:oneCellAnchor>
    <xdr:from>
      <xdr:col>8</xdr:col>
      <xdr:colOff>735358</xdr:colOff>
      <xdr:row>30</xdr:row>
      <xdr:rowOff>128620</xdr:rowOff>
    </xdr:from>
    <xdr:ext cx="313419" cy="215444"/>
    <xdr:sp macro="" textlink="">
      <xdr:nvSpPr>
        <xdr:cNvPr id="41" name="TextBox 3">
          <a:extLst>
            <a:ext uri="{FF2B5EF4-FFF2-40B4-BE49-F238E27FC236}">
              <a16:creationId xmlns:a16="http://schemas.microsoft.com/office/drawing/2014/main" id="{F886131F-1B30-4FE3-850D-5AA46FAC8368}"/>
            </a:ext>
          </a:extLst>
        </xdr:cNvPr>
        <xdr:cNvSpPr txBox="1"/>
      </xdr:nvSpPr>
      <xdr:spPr>
        <a:xfrm>
          <a:off x="7212358" y="7488270"/>
          <a:ext cx="313419"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(2)</a:t>
          </a:r>
        </a:p>
      </xdr:txBody>
    </xdr:sp>
    <xdr:clientData/>
  </xdr:oneCellAnchor>
  <xdr:twoCellAnchor>
    <xdr:from>
      <xdr:col>11</xdr:col>
      <xdr:colOff>0</xdr:colOff>
      <xdr:row>60</xdr:row>
      <xdr:rowOff>176892</xdr:rowOff>
    </xdr:from>
    <xdr:to>
      <xdr:col>17</xdr:col>
      <xdr:colOff>17145</xdr:colOff>
      <xdr:row>65</xdr:row>
      <xdr:rowOff>153488</xdr:rowOff>
    </xdr:to>
    <xdr:graphicFrame macro="">
      <xdr:nvGraphicFramePr>
        <xdr:cNvPr id="42" name="Chart 56">
          <a:extLst>
            <a:ext uri="{FF2B5EF4-FFF2-40B4-BE49-F238E27FC236}">
              <a16:creationId xmlns:a16="http://schemas.microsoft.com/office/drawing/2014/main" id="{0BB139ED-1919-4074-A2D1-F6FD7C5BC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15</xdr:col>
      <xdr:colOff>592409</xdr:colOff>
      <xdr:row>111</xdr:row>
      <xdr:rowOff>46463</xdr:rowOff>
    </xdr:from>
    <xdr:to>
      <xdr:col>16</xdr:col>
      <xdr:colOff>133903</xdr:colOff>
      <xdr:row>112</xdr:row>
      <xdr:rowOff>174423</xdr:rowOff>
    </xdr:to>
    <xdr:pic>
      <xdr:nvPicPr>
        <xdr:cNvPr id="43" name="Picture 42">
          <a:extLst>
            <a:ext uri="{FF2B5EF4-FFF2-40B4-BE49-F238E27FC236}">
              <a16:creationId xmlns:a16="http://schemas.microsoft.com/office/drawing/2014/main" id="{9AFEB5E0-84E1-4141-9FBE-AB7AC40AFD67}"/>
            </a:ext>
          </a:extLst>
        </xdr:cNvPr>
        <xdr:cNvPicPr>
          <a:picLocks noChangeAspect="1"/>
        </xdr:cNvPicPr>
      </xdr:nvPicPr>
      <xdr:blipFill>
        <a:blip xmlns:r="http://schemas.openxmlformats.org/officeDocument/2006/relationships" r:embed="rId2"/>
        <a:stretch>
          <a:fillRect/>
        </a:stretch>
      </xdr:blipFill>
      <xdr:spPr>
        <a:xfrm>
          <a:off x="13222559" y="26424363"/>
          <a:ext cx="417794" cy="356560"/>
        </a:xfrm>
        <a:prstGeom prst="rect">
          <a:avLst/>
        </a:prstGeom>
      </xdr:spPr>
    </xdr:pic>
    <xdr:clientData/>
  </xdr:twoCellAnchor>
  <xdr:oneCellAnchor>
    <xdr:from>
      <xdr:col>7</xdr:col>
      <xdr:colOff>784385</xdr:colOff>
      <xdr:row>101</xdr:row>
      <xdr:rowOff>170991</xdr:rowOff>
    </xdr:from>
    <xdr:ext cx="281295" cy="215444"/>
    <xdr:sp macro="" textlink="">
      <xdr:nvSpPr>
        <xdr:cNvPr id="44" name="TextBox 43">
          <a:extLst>
            <a:ext uri="{FF2B5EF4-FFF2-40B4-BE49-F238E27FC236}">
              <a16:creationId xmlns:a16="http://schemas.microsoft.com/office/drawing/2014/main" id="{F2BD8631-0544-463C-9271-585825E29CD5}"/>
            </a:ext>
          </a:extLst>
        </xdr:cNvPr>
        <xdr:cNvSpPr txBox="1"/>
      </xdr:nvSpPr>
      <xdr:spPr>
        <a:xfrm>
          <a:off x="6385085" y="24262891"/>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7</xdr:col>
      <xdr:colOff>807245</xdr:colOff>
      <xdr:row>129</xdr:row>
      <xdr:rowOff>209091</xdr:rowOff>
    </xdr:from>
    <xdr:ext cx="281295" cy="215444"/>
    <xdr:sp macro="" textlink="">
      <xdr:nvSpPr>
        <xdr:cNvPr id="45" name="TextBox 44">
          <a:extLst>
            <a:ext uri="{FF2B5EF4-FFF2-40B4-BE49-F238E27FC236}">
              <a16:creationId xmlns:a16="http://schemas.microsoft.com/office/drawing/2014/main" id="{05E2E849-B457-4B49-AF87-67821E65A37B}"/>
            </a:ext>
          </a:extLst>
        </xdr:cNvPr>
        <xdr:cNvSpPr txBox="1"/>
      </xdr:nvSpPr>
      <xdr:spPr>
        <a:xfrm>
          <a:off x="6407945" y="30701791"/>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7</xdr:col>
      <xdr:colOff>788195</xdr:colOff>
      <xdr:row>151</xdr:row>
      <xdr:rowOff>199566</xdr:rowOff>
    </xdr:from>
    <xdr:ext cx="281295" cy="215444"/>
    <xdr:sp macro="" textlink="">
      <xdr:nvSpPr>
        <xdr:cNvPr id="46" name="TextBox 45">
          <a:extLst>
            <a:ext uri="{FF2B5EF4-FFF2-40B4-BE49-F238E27FC236}">
              <a16:creationId xmlns:a16="http://schemas.microsoft.com/office/drawing/2014/main" id="{D0FA3073-68B0-4685-B1FB-375904361017}"/>
            </a:ext>
          </a:extLst>
        </xdr:cNvPr>
        <xdr:cNvSpPr txBox="1"/>
      </xdr:nvSpPr>
      <xdr:spPr>
        <a:xfrm>
          <a:off x="6388895" y="35721466"/>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oneCellAnchor>
    <xdr:from>
      <xdr:col>7</xdr:col>
      <xdr:colOff>724409</xdr:colOff>
      <xdr:row>30</xdr:row>
      <xdr:rowOff>128620</xdr:rowOff>
    </xdr:from>
    <xdr:ext cx="281295" cy="215444"/>
    <xdr:sp macro="" textlink="">
      <xdr:nvSpPr>
        <xdr:cNvPr id="47" name="TextBox 1">
          <a:extLst>
            <a:ext uri="{FF2B5EF4-FFF2-40B4-BE49-F238E27FC236}">
              <a16:creationId xmlns:a16="http://schemas.microsoft.com/office/drawing/2014/main" id="{0BEFFCD5-CF52-4E20-8C04-7F3B5BD2CB85}"/>
            </a:ext>
          </a:extLst>
        </xdr:cNvPr>
        <xdr:cNvSpPr txBox="1"/>
      </xdr:nvSpPr>
      <xdr:spPr>
        <a:xfrm>
          <a:off x="6325109" y="7488270"/>
          <a:ext cx="281295" cy="215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800"/>
            <a:t>(1)</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poncloud.sharepoint.com/teams/O365_EDPRInvestorRelations/Shared%20Documents/General/Resultados%20EDP%20Renov&#225;veis/2025/3%20-%203rd%20Quarter%20Results/3.%20Operating%20Data/9M25%20-%20Operating%20Data%20preview.xlsx" TargetMode="External"/><Relationship Id="rId1" Type="http://schemas.openxmlformats.org/officeDocument/2006/relationships/externalLinkPath" Target="/teams/O365_EDPRInvestorRelations/Shared%20Documents/General/Resultados%20EDP%20Renov&#225;veis/2025/3%20-%203rd%20Quarter%20Results/3.%20Operating%20Data/9M25%20-%20Operating%20Data%20preview.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dponcloud.sharepoint.com/teams/O365_EDPRInvestorRelations/Shared%20Documents/General/Resultados%20EDP%20Renov&#225;veis/2025/4%20-%204th%20Quarter%20Results/3.%20Operating%20Data/FY25%20-%20Capacity%20Pivots.xlsx" TargetMode="External"/><Relationship Id="rId1" Type="http://schemas.openxmlformats.org/officeDocument/2006/relationships/externalLinkPath" Target="FY25%20-%20Capacity%20Pivot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dponcloud.sharepoint.com/teams/O365_EDPRInvestorRelations/Shared%20Documents/General/Resultados%20EDP%20Renov&#225;veis/2025/4%20-%204th%20Quarter%20Results/1.%20Backup/FY25%20-%20Backup.xlsx" TargetMode="External"/><Relationship Id="rId1" Type="http://schemas.openxmlformats.org/officeDocument/2006/relationships/externalLinkPath" Target="/teams/O365_EDPRInvestorRelations/Shared%20Documents/General/Resultados%20EDP%20Renov&#225;veis/2025/4%20-%204th%20Quarter%20Results/1.%20Backup/FY25%20-%20Bac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
      <sheetName val="PT"/>
      <sheetName val="Charts"/>
      <sheetName val="Text"/>
      <sheetName val="Check"/>
      <sheetName val="Checks"/>
    </sheetNames>
    <sheetDataSet>
      <sheetData sheetId="0">
        <row r="11">
          <cell r="V11">
            <v>19.802583500000019</v>
          </cell>
        </row>
        <row r="16">
          <cell r="V16">
            <v>3.2581150999999999</v>
          </cell>
        </row>
        <row r="21">
          <cell r="V21">
            <v>-0.24541739999999998</v>
          </cell>
        </row>
        <row r="22">
          <cell r="V22">
            <v>2.3449173000000001</v>
          </cell>
        </row>
        <row r="28">
          <cell r="W28">
            <v>30.184462032900008</v>
          </cell>
        </row>
        <row r="29">
          <cell r="X29" vm="61">
            <v>0.27746671694580816</v>
          </cell>
        </row>
        <row r="30">
          <cell r="X30">
            <v>0.95762231363159467</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st Capacity YoY"/>
      <sheetName val="Inst Capacity YTD Breakdown"/>
      <sheetName val="DH Additions"/>
      <sheetName val="DH AR-Decom"/>
      <sheetName val="YTD Additions by Project"/>
      <sheetName val="DH Additions Tech"/>
      <sheetName val="DH AR-Decom Tech"/>
      <sheetName val="AUX"/>
      <sheetName val="DH UC"/>
      <sheetName val="Sheet2"/>
      <sheetName val="DH QTD"/>
      <sheetName val="OW"/>
      <sheetName val="DH Additions in MWh"/>
      <sheetName val="Sheet1"/>
    </sheetNames>
    <sheetDataSet>
      <sheetData sheetId="0" refreshError="1"/>
      <sheetData sheetId="1">
        <row r="5">
          <cell r="C5">
            <v>629.80150000000003</v>
          </cell>
          <cell r="D5">
            <v>-839.82099999999991</v>
          </cell>
          <cell r="E5">
            <v>-210.01949999999988</v>
          </cell>
        </row>
        <row r="6">
          <cell r="C6">
            <v>1076.0496000000001</v>
          </cell>
          <cell r="D6">
            <v>-33.146000000000001</v>
          </cell>
          <cell r="E6">
            <v>1042.9036000000001</v>
          </cell>
        </row>
        <row r="7">
          <cell r="C7">
            <v>123.9</v>
          </cell>
          <cell r="D7">
            <v>0</v>
          </cell>
          <cell r="E7">
            <v>123.9</v>
          </cell>
        </row>
        <row r="8">
          <cell r="C8">
            <v>139.57910000000001</v>
          </cell>
          <cell r="D8">
            <v>-20.797499999999999</v>
          </cell>
          <cell r="E8">
            <v>118.78160000000001</v>
          </cell>
        </row>
        <row r="9">
          <cell r="C9">
            <v>1969.3302000000001</v>
          </cell>
          <cell r="D9">
            <v>-893.76449999999988</v>
          </cell>
          <cell r="E9">
            <v>1075.5657000000001</v>
          </cell>
        </row>
        <row r="12">
          <cell r="C12">
            <v>557.6875</v>
          </cell>
          <cell r="D12">
            <v>-301.90499999999997</v>
          </cell>
          <cell r="E12">
            <v>255.78250000000003</v>
          </cell>
        </row>
        <row r="13">
          <cell r="C13">
            <v>801.60149999999999</v>
          </cell>
          <cell r="D13">
            <v>-530.49599999999998</v>
          </cell>
          <cell r="E13">
            <v>271.10550000000001</v>
          </cell>
        </row>
        <row r="14">
          <cell r="C14">
            <v>146.02220000000003</v>
          </cell>
          <cell r="D14">
            <v>-20.863500000000002</v>
          </cell>
          <cell r="E14">
            <v>125.15870000000002</v>
          </cell>
        </row>
        <row r="15">
          <cell r="C15">
            <v>343.51900000000001</v>
          </cell>
          <cell r="D15">
            <v>0</v>
          </cell>
          <cell r="E15">
            <v>343.51900000000001</v>
          </cell>
        </row>
        <row r="16">
          <cell r="C16">
            <v>120.5</v>
          </cell>
          <cell r="D16">
            <v>-40.5</v>
          </cell>
          <cell r="E16">
            <v>80</v>
          </cell>
        </row>
      </sheetData>
      <sheetData sheetId="2">
        <row r="6">
          <cell r="J6">
            <v>0</v>
          </cell>
          <cell r="K6">
            <v>0</v>
          </cell>
          <cell r="Q6">
            <v>19.68</v>
          </cell>
          <cell r="R6">
            <v>-272.56</v>
          </cell>
          <cell r="X6">
            <v>0</v>
          </cell>
          <cell r="Y6">
            <v>0</v>
          </cell>
        </row>
        <row r="7">
          <cell r="J7">
            <v>0</v>
          </cell>
          <cell r="K7">
            <v>0</v>
          </cell>
          <cell r="Q7">
            <v>61</v>
          </cell>
          <cell r="R7">
            <v>-47.9</v>
          </cell>
          <cell r="X7">
            <v>120.5</v>
          </cell>
          <cell r="Y7">
            <v>-40.5</v>
          </cell>
        </row>
        <row r="8">
          <cell r="J8">
            <v>53</v>
          </cell>
          <cell r="K8">
            <v>-110.69999999999999</v>
          </cell>
          <cell r="Q8">
            <v>28.499999999999996</v>
          </cell>
          <cell r="R8">
            <v>-0.92600000000000005</v>
          </cell>
          <cell r="X8">
            <v>0</v>
          </cell>
          <cell r="Y8">
            <v>0</v>
          </cell>
        </row>
        <row r="9">
          <cell r="J9">
            <v>0</v>
          </cell>
          <cell r="K9">
            <v>-10.5</v>
          </cell>
          <cell r="Q9">
            <v>0</v>
          </cell>
          <cell r="R9">
            <v>0</v>
          </cell>
        </row>
        <row r="10">
          <cell r="J10">
            <v>0</v>
          </cell>
          <cell r="K10">
            <v>0</v>
          </cell>
          <cell r="Q10">
            <v>0</v>
          </cell>
          <cell r="R10">
            <v>0</v>
          </cell>
        </row>
        <row r="11">
          <cell r="J11">
            <v>0</v>
          </cell>
          <cell r="K11">
            <v>0</v>
          </cell>
          <cell r="Q11">
            <v>0</v>
          </cell>
          <cell r="R11">
            <v>0</v>
          </cell>
        </row>
        <row r="12">
          <cell r="J12">
            <v>106.4</v>
          </cell>
          <cell r="K12">
            <v>0</v>
          </cell>
          <cell r="Q12">
            <v>62.400000000000006</v>
          </cell>
          <cell r="R12">
            <v>-207.11</v>
          </cell>
        </row>
        <row r="13">
          <cell r="J13">
            <v>23.1</v>
          </cell>
          <cell r="K13">
            <v>-149.625</v>
          </cell>
          <cell r="Q13">
            <v>0</v>
          </cell>
          <cell r="R13">
            <v>0</v>
          </cell>
        </row>
        <row r="14">
          <cell r="J14">
            <v>0</v>
          </cell>
          <cell r="K14">
            <v>0</v>
          </cell>
          <cell r="Q14">
            <v>50</v>
          </cell>
          <cell r="R14">
            <v>0</v>
          </cell>
        </row>
        <row r="15">
          <cell r="J15">
            <v>0</v>
          </cell>
          <cell r="K15">
            <v>0</v>
          </cell>
          <cell r="Q15">
            <v>105.22149999999999</v>
          </cell>
          <cell r="R15">
            <v>0</v>
          </cell>
        </row>
        <row r="16">
          <cell r="J16">
            <v>0</v>
          </cell>
          <cell r="K16">
            <v>0</v>
          </cell>
          <cell r="Q16">
            <v>0</v>
          </cell>
          <cell r="R16">
            <v>0</v>
          </cell>
        </row>
        <row r="17">
          <cell r="J17">
            <v>0</v>
          </cell>
          <cell r="K17">
            <v>0</v>
          </cell>
          <cell r="Q17">
            <v>0</v>
          </cell>
          <cell r="R17">
            <v>0</v>
          </cell>
        </row>
        <row r="19">
          <cell r="J19">
            <v>269.85000000000002</v>
          </cell>
          <cell r="K19">
            <v>-31.080000000000002</v>
          </cell>
          <cell r="Q19">
            <v>824.76209999999992</v>
          </cell>
          <cell r="R19">
            <v>-2.0659999999999994</v>
          </cell>
        </row>
        <row r="20">
          <cell r="J20">
            <v>0</v>
          </cell>
          <cell r="K20">
            <v>0</v>
          </cell>
          <cell r="Q20">
            <v>0</v>
          </cell>
          <cell r="R20">
            <v>0</v>
          </cell>
        </row>
        <row r="21">
          <cell r="J21">
            <v>0</v>
          </cell>
          <cell r="K21">
            <v>0</v>
          </cell>
          <cell r="Q21">
            <v>0</v>
          </cell>
          <cell r="R21">
            <v>0</v>
          </cell>
        </row>
        <row r="23">
          <cell r="J23">
            <v>123.9</v>
          </cell>
          <cell r="K23">
            <v>0</v>
          </cell>
          <cell r="Q23">
            <v>0</v>
          </cell>
          <cell r="R23">
            <v>0</v>
          </cell>
        </row>
        <row r="24">
          <cell r="J24">
            <v>0</v>
          </cell>
          <cell r="K24">
            <v>0</v>
          </cell>
          <cell r="Q24">
            <v>0</v>
          </cell>
          <cell r="R24">
            <v>0</v>
          </cell>
        </row>
        <row r="25">
          <cell r="J25">
            <v>0</v>
          </cell>
          <cell r="K25">
            <v>0</v>
          </cell>
        </row>
        <row r="27">
          <cell r="Q27">
            <v>0</v>
          </cell>
          <cell r="R27">
            <v>0</v>
          </cell>
        </row>
        <row r="28">
          <cell r="Q28">
            <v>86.442000000000007</v>
          </cell>
          <cell r="R28">
            <v>-8.6216999999999988</v>
          </cell>
        </row>
        <row r="29">
          <cell r="Q29">
            <v>53.137100000000004</v>
          </cell>
          <cell r="R29">
            <v>-6.9320000000000004</v>
          </cell>
        </row>
        <row r="33">
          <cell r="J33">
            <v>0</v>
          </cell>
          <cell r="K33">
            <v>0</v>
          </cell>
        </row>
        <row r="34">
          <cell r="J34">
            <v>0</v>
          </cell>
          <cell r="K34">
            <v>0</v>
          </cell>
        </row>
        <row r="37">
          <cell r="J37">
            <v>-18.5625</v>
          </cell>
          <cell r="K37">
            <v>0</v>
          </cell>
          <cell r="Q37">
            <v>0</v>
          </cell>
          <cell r="R37">
            <v>0</v>
          </cell>
        </row>
        <row r="38">
          <cell r="J38">
            <v>0</v>
          </cell>
          <cell r="K38">
            <v>0</v>
          </cell>
        </row>
        <row r="41">
          <cell r="Q41">
            <v>0</v>
          </cell>
          <cell r="R41">
            <v>-5.2436999999999996</v>
          </cell>
        </row>
      </sheetData>
      <sheetData sheetId="3" refreshError="1"/>
      <sheetData sheetId="4" refreshError="1"/>
      <sheetData sheetId="5">
        <row r="7">
          <cell r="C7" t="str">
            <v>Valle Verde</v>
          </cell>
          <cell r="D7" t="str">
            <v>Italy</v>
          </cell>
          <cell r="F7">
            <v>63</v>
          </cell>
          <cell r="G7" t="str">
            <v>Itália</v>
          </cell>
        </row>
        <row r="8">
          <cell r="C8" t="str">
            <v>Rosamarina</v>
          </cell>
          <cell r="D8" t="str">
            <v>Italy</v>
          </cell>
          <cell r="F8">
            <v>43.4</v>
          </cell>
          <cell r="G8" t="str">
            <v>Itália</v>
          </cell>
        </row>
        <row r="9">
          <cell r="C9" t="str">
            <v>Plémet</v>
          </cell>
          <cell r="D9" t="str">
            <v>France</v>
          </cell>
          <cell r="F9">
            <v>11</v>
          </cell>
          <cell r="G9" t="str">
            <v>França</v>
          </cell>
        </row>
        <row r="10">
          <cell r="C10" t="str">
            <v>Saint-Bon</v>
          </cell>
          <cell r="D10" t="str">
            <v>France</v>
          </cell>
          <cell r="F10">
            <v>12.6</v>
          </cell>
          <cell r="G10" t="str">
            <v>França</v>
          </cell>
        </row>
        <row r="11">
          <cell r="C11" t="str">
            <v>Wanchy-Capval Londiniéres</v>
          </cell>
          <cell r="D11" t="str">
            <v>France</v>
          </cell>
          <cell r="F11">
            <v>29.4</v>
          </cell>
          <cell r="G11" t="str">
            <v>França</v>
          </cell>
        </row>
        <row r="12">
          <cell r="C12" t="str">
            <v>Kadmeios</v>
          </cell>
          <cell r="D12" t="str">
            <v>Greece</v>
          </cell>
          <cell r="F12">
            <v>23.1</v>
          </cell>
          <cell r="G12" t="str">
            <v>Grécia</v>
          </cell>
        </row>
        <row r="13">
          <cell r="C13" t="str">
            <v>Blue Canyon I</v>
          </cell>
          <cell r="D13" t="str">
            <v>US</v>
          </cell>
          <cell r="F13">
            <v>74.25</v>
          </cell>
          <cell r="G13" t="str">
            <v>EUA</v>
          </cell>
        </row>
        <row r="14">
          <cell r="C14" t="str">
            <v>Carpenter</v>
          </cell>
          <cell r="D14" t="str">
            <v>US</v>
          </cell>
          <cell r="F14">
            <v>195.6</v>
          </cell>
          <cell r="G14" t="str">
            <v>EUA</v>
          </cell>
        </row>
        <row r="15">
          <cell r="C15" t="str">
            <v>Serra da Borborema I-IV</v>
          </cell>
          <cell r="D15" t="str">
            <v>Brazil</v>
          </cell>
          <cell r="F15">
            <v>123.9</v>
          </cell>
          <cell r="G15" t="str">
            <v>Brasil</v>
          </cell>
        </row>
        <row r="22">
          <cell r="L22" t="str">
            <v>Palma</v>
          </cell>
          <cell r="M22" t="str">
            <v>Spain</v>
          </cell>
          <cell r="N22">
            <v>19.68</v>
          </cell>
          <cell r="O22" t="str">
            <v>Espanha</v>
          </cell>
        </row>
        <row r="23">
          <cell r="L23" t="str">
            <v>Charneca das Lebres (Hybrid)</v>
          </cell>
          <cell r="M23" t="str">
            <v>Portugal</v>
          </cell>
          <cell r="N23">
            <v>13.1</v>
          </cell>
          <cell r="O23" t="str">
            <v>Portugal</v>
          </cell>
        </row>
        <row r="24">
          <cell r="L24" t="str">
            <v>Pracana (Hybrid)</v>
          </cell>
          <cell r="M24" t="str">
            <v>Portugal</v>
          </cell>
          <cell r="N24">
            <v>47.9</v>
          </cell>
          <cell r="O24" t="str">
            <v>Portugal</v>
          </cell>
        </row>
        <row r="25">
          <cell r="L25" t="str">
            <v>Menestreau</v>
          </cell>
          <cell r="M25" t="str">
            <v>France</v>
          </cell>
          <cell r="N25">
            <v>11.66</v>
          </cell>
          <cell r="O25" t="str">
            <v>França</v>
          </cell>
        </row>
        <row r="26">
          <cell r="L26" t="str">
            <v>Monts</v>
          </cell>
          <cell r="M26" t="str">
            <v>France</v>
          </cell>
          <cell r="N26">
            <v>16.84</v>
          </cell>
          <cell r="O26" t="str">
            <v>França</v>
          </cell>
        </row>
        <row r="27">
          <cell r="L27" t="str">
            <v>Chiaramonte I</v>
          </cell>
          <cell r="M27" t="str">
            <v>Italy</v>
          </cell>
          <cell r="N27">
            <v>23.7</v>
          </cell>
          <cell r="O27" t="str">
            <v>Itália</v>
          </cell>
        </row>
        <row r="28">
          <cell r="L28" t="str">
            <v>Chiaramonte II</v>
          </cell>
          <cell r="M28" t="str">
            <v>Italy</v>
          </cell>
          <cell r="N28">
            <v>38.700000000000003</v>
          </cell>
          <cell r="O28" t="str">
            <v>Itália</v>
          </cell>
        </row>
        <row r="29">
          <cell r="L29" t="str">
            <v>Ketzin</v>
          </cell>
          <cell r="M29" t="str">
            <v>Germany</v>
          </cell>
          <cell r="N29">
            <v>58.078600000000002</v>
          </cell>
          <cell r="O29" t="str">
            <v>Alemanha</v>
          </cell>
        </row>
        <row r="30">
          <cell r="L30" t="str">
            <v>Meuselwitz</v>
          </cell>
          <cell r="M30" t="str">
            <v>Germany</v>
          </cell>
          <cell r="N30">
            <v>47.142899999999997</v>
          </cell>
          <cell r="O30" t="str">
            <v>Alemanha</v>
          </cell>
        </row>
        <row r="31">
          <cell r="L31" t="str">
            <v>Harrington Franklin BESS</v>
          </cell>
          <cell r="M31" t="str">
            <v>UK</v>
          </cell>
          <cell r="N31">
            <v>50</v>
          </cell>
          <cell r="O31" t="str">
            <v>UK</v>
          </cell>
        </row>
        <row r="32">
          <cell r="L32" t="str">
            <v>Azalea Springs</v>
          </cell>
          <cell r="M32" t="str">
            <v>US</v>
          </cell>
          <cell r="N32">
            <v>180</v>
          </cell>
          <cell r="O32" t="str">
            <v>EUA</v>
          </cell>
        </row>
        <row r="33">
          <cell r="L33" t="str">
            <v>Pleasantville</v>
          </cell>
          <cell r="M33" t="str">
            <v>US</v>
          </cell>
          <cell r="N33">
            <v>150</v>
          </cell>
          <cell r="O33" t="str">
            <v>EUA</v>
          </cell>
        </row>
        <row r="34">
          <cell r="L34" t="str">
            <v>Riverstart IV</v>
          </cell>
          <cell r="M34" t="str">
            <v>US</v>
          </cell>
          <cell r="N34">
            <v>150</v>
          </cell>
          <cell r="O34" t="str">
            <v>EUA</v>
          </cell>
        </row>
        <row r="35">
          <cell r="L35" t="str">
            <v>Flatland BESS</v>
          </cell>
          <cell r="M35" t="str">
            <v>US</v>
          </cell>
          <cell r="N35">
            <v>200</v>
          </cell>
          <cell r="O35" t="str">
            <v>EUA</v>
          </cell>
        </row>
        <row r="36">
          <cell r="L36" t="str">
            <v>Sandrini BESS</v>
          </cell>
          <cell r="M36" t="str">
            <v>US</v>
          </cell>
          <cell r="N36">
            <v>92</v>
          </cell>
          <cell r="O36" t="str">
            <v>EUA</v>
          </cell>
        </row>
        <row r="37">
          <cell r="L37" t="str">
            <v>Distributed Solar + DG BESS</v>
          </cell>
          <cell r="M37" t="str">
            <v>US</v>
          </cell>
          <cell r="N37">
            <v>52.76209999999999</v>
          </cell>
          <cell r="O37" t="str">
            <v>EUA</v>
          </cell>
        </row>
        <row r="38">
          <cell r="L38" t="str">
            <v>Singapore</v>
          </cell>
          <cell r="M38" t="str">
            <v>Singapore</v>
          </cell>
          <cell r="N38">
            <v>86.442000000000007</v>
          </cell>
          <cell r="O38" t="str">
            <v>Singapura</v>
          </cell>
        </row>
        <row r="39">
          <cell r="L39" t="str">
            <v>Fukushima</v>
          </cell>
          <cell r="M39" t="str">
            <v>Japan</v>
          </cell>
          <cell r="N39">
            <v>35</v>
          </cell>
          <cell r="O39" t="str">
            <v>Japão</v>
          </cell>
        </row>
        <row r="40">
          <cell r="L40" t="str">
            <v>Solar DG</v>
          </cell>
          <cell r="M40" t="str">
            <v>Rest of APAC</v>
          </cell>
          <cell r="N40">
            <v>18.1371</v>
          </cell>
          <cell r="O40" t="str">
            <v>Resto de APAC</v>
          </cell>
        </row>
        <row r="78">
          <cell r="C78" t="str">
            <v>Noirmoutier</v>
          </cell>
          <cell r="D78" t="str">
            <v>France</v>
          </cell>
          <cell r="F78">
            <v>120.5</v>
          </cell>
          <cell r="G78" t="str">
            <v>França</v>
          </cell>
        </row>
      </sheetData>
      <sheetData sheetId="6" refreshError="1"/>
      <sheetData sheetId="7" refreshError="1"/>
      <sheetData sheetId="8" refreshError="1"/>
      <sheetData sheetId="9">
        <row r="10">
          <cell r="O10">
            <v>45.466200000000008</v>
          </cell>
        </row>
        <row r="15">
          <cell r="O15">
            <v>362.64</v>
          </cell>
        </row>
        <row r="17">
          <cell r="O17">
            <v>12</v>
          </cell>
        </row>
        <row r="19">
          <cell r="O19">
            <v>704.2</v>
          </cell>
        </row>
        <row r="24">
          <cell r="O24">
            <v>285.565</v>
          </cell>
        </row>
        <row r="31">
          <cell r="O31">
            <v>238.5</v>
          </cell>
        </row>
      </sheetData>
      <sheetData sheetId="10" refreshError="1"/>
      <sheetData sheetId="11" refreshError="1"/>
      <sheetData sheetId="12">
        <row r="13">
          <cell r="H13">
            <v>400</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Backup"/>
    </sheetNames>
    <sheetDataSet>
      <sheetData sheetId="0" refreshError="1"/>
      <sheetData sheetId="1">
        <row r="11">
          <cell r="F11" vm="4">
            <v>19315.39219999998</v>
          </cell>
          <cell r="J11" vm="76">
            <v>20390.957900000019</v>
          </cell>
        </row>
        <row r="13">
          <cell r="F13">
            <v>6814.054900000001</v>
          </cell>
        </row>
        <row r="28">
          <cell r="F28">
            <v>9766.4685000000281</v>
          </cell>
        </row>
        <row r="33">
          <cell r="F33">
            <v>1701.9102000000007</v>
          </cell>
        </row>
        <row r="38">
          <cell r="F38">
            <v>1032.9588000000003</v>
          </cell>
        </row>
        <row r="53">
          <cell r="F53" vm="28">
            <v>12878.589499999998</v>
          </cell>
          <cell r="J53" vm="64">
            <v>13134.372000000001</v>
          </cell>
        </row>
        <row r="54">
          <cell r="F54" vm="32">
            <v>4671.0056999999997</v>
          </cell>
          <cell r="J54" vm="78">
            <v>4943.4261999999962</v>
          </cell>
        </row>
        <row r="55">
          <cell r="F55" vm="31">
            <v>899.48709999999858</v>
          </cell>
          <cell r="J55" vm="89">
            <v>1023.3308000000003</v>
          </cell>
        </row>
        <row r="56">
          <cell r="F56" vm="30">
            <v>206.536</v>
          </cell>
          <cell r="J56" vm="119">
            <v>550.05499999999995</v>
          </cell>
        </row>
        <row r="57">
          <cell r="F57" vm="29">
            <v>659.77390000000003</v>
          </cell>
          <cell r="J57" vm="90">
            <v>739.77390000000003</v>
          </cell>
        </row>
        <row r="61">
          <cell r="F61" vm="5">
            <v>17785.224199999942</v>
          </cell>
          <cell r="J61" vm="120">
            <v>18804.596199999942</v>
          </cell>
        </row>
        <row r="63">
          <cell r="F63" vm="1">
            <v>6014.3510000000006</v>
          </cell>
          <cell r="J63" vm="91">
            <v>5724.3315000000011</v>
          </cell>
        </row>
        <row r="64">
          <cell r="F64" vm="6">
            <v>2334.6200000000008</v>
          </cell>
          <cell r="J64" vm="121">
            <v>2081.7400000000002</v>
          </cell>
        </row>
        <row r="65">
          <cell r="F65" vm="3">
            <v>1412.97</v>
          </cell>
          <cell r="J65" vm="62">
            <v>1426.07</v>
          </cell>
        </row>
        <row r="66">
          <cell r="F66">
            <v>2266.7609999999995</v>
          </cell>
          <cell r="J66">
            <v>2216.5214999999994</v>
          </cell>
        </row>
        <row r="78">
          <cell r="F78" vm="7">
            <v>9047.1660000000284</v>
          </cell>
          <cell r="J78" vm="100">
            <v>10108.632100000026</v>
          </cell>
        </row>
        <row r="79">
          <cell r="F79" vm="2">
            <v>8421.9060000000482</v>
          </cell>
          <cell r="J79" vm="74">
            <v>9483.3721000000569</v>
          </cell>
        </row>
        <row r="80">
          <cell r="F80" vm="8">
            <v>129.76</v>
          </cell>
          <cell r="J80" vm="69">
            <v>129.76</v>
          </cell>
        </row>
        <row r="81">
          <cell r="F81" vm="9">
            <v>495.5</v>
          </cell>
          <cell r="J81" vm="77">
            <v>495.5</v>
          </cell>
        </row>
        <row r="83">
          <cell r="F83" vm="10">
            <v>1701.9102000000007</v>
          </cell>
          <cell r="J83" vm="80">
            <v>1825.8102000000006</v>
          </cell>
        </row>
        <row r="84">
          <cell r="F84" vm="11">
            <v>1619.3102000000008</v>
          </cell>
          <cell r="J84" vm="122">
            <v>1743.2102000000004</v>
          </cell>
        </row>
        <row r="85">
          <cell r="F85">
            <v>0</v>
          </cell>
          <cell r="J85">
            <v>0</v>
          </cell>
        </row>
        <row r="86">
          <cell r="F86" vm="12">
            <v>82.6</v>
          </cell>
          <cell r="J86" vm="87">
            <v>82.6</v>
          </cell>
        </row>
        <row r="88">
          <cell r="F88" vm="13">
            <v>1021.7970000000003</v>
          </cell>
          <cell r="J88" vm="105">
            <v>1145.8224</v>
          </cell>
        </row>
        <row r="89">
          <cell r="F89" vm="14">
            <v>402.47019999999998</v>
          </cell>
          <cell r="J89" vm="123">
            <v>402.47019999999998</v>
          </cell>
        </row>
        <row r="90">
          <cell r="F90" vm="15">
            <v>362.66540000000003</v>
          </cell>
          <cell r="J90" vm="124">
            <v>440.48570000000029</v>
          </cell>
        </row>
        <row r="91">
          <cell r="F91">
            <v>256.66140000000007</v>
          </cell>
          <cell r="J91">
            <v>302.86650000000003</v>
          </cell>
        </row>
        <row r="111">
          <cell r="F111" vm="16">
            <v>1530.1682000000001</v>
          </cell>
          <cell r="J111" vm="103">
            <v>1586.3617999999999</v>
          </cell>
        </row>
        <row r="113">
          <cell r="F113">
            <v>799.70389999999998</v>
          </cell>
          <cell r="J113">
            <v>879.70389999999998</v>
          </cell>
        </row>
        <row r="114">
          <cell r="F114" vm="17">
            <v>120.13</v>
          </cell>
          <cell r="J114" vm="88">
            <v>120.13</v>
          </cell>
        </row>
        <row r="115">
          <cell r="F115" vm="18">
            <v>28.011399999999995</v>
          </cell>
          <cell r="J115" vm="111">
            <v>28.011399999999995</v>
          </cell>
        </row>
        <row r="116">
          <cell r="F116">
            <v>651.5625</v>
          </cell>
          <cell r="J116">
            <v>731.5625</v>
          </cell>
        </row>
        <row r="128">
          <cell r="F128" vm="19">
            <v>719.30250000000012</v>
          </cell>
          <cell r="J128" vm="83">
            <v>700.74</v>
          </cell>
        </row>
        <row r="138">
          <cell r="F138" vm="13">
            <v>11.161799999999999</v>
          </cell>
          <cell r="J138" vm="104">
            <v>5.9178999999999995</v>
          </cell>
        </row>
        <row r="161">
          <cell r="J161" vm="109">
            <v>12540.682000000001</v>
          </cell>
        </row>
        <row r="163">
          <cell r="J163" vm="115">
            <v>4783.1900000000005</v>
          </cell>
        </row>
        <row r="164">
          <cell r="J164" vm="63">
            <v>1986.7200000000003</v>
          </cell>
        </row>
        <row r="165">
          <cell r="J165" vm="79">
            <v>1177.17</v>
          </cell>
        </row>
        <row r="166">
          <cell r="J166">
            <v>1619.2999999999997</v>
          </cell>
        </row>
        <row r="178">
          <cell r="J178" vm="125">
            <v>6602.0919999999996</v>
          </cell>
        </row>
        <row r="179">
          <cell r="J179" vm="126">
            <v>6176.8320000000003</v>
          </cell>
        </row>
        <row r="180">
          <cell r="J180" vm="127">
            <v>129.76</v>
          </cell>
        </row>
        <row r="181">
          <cell r="J181" vm="128">
            <v>295.5</v>
          </cell>
        </row>
        <row r="183">
          <cell r="J183" vm="106">
            <v>1155.4000000000003</v>
          </cell>
        </row>
        <row r="184">
          <cell r="J184" vm="102">
            <v>1072.8000000000002</v>
          </cell>
        </row>
        <row r="185">
          <cell r="J185">
            <v>0</v>
          </cell>
        </row>
        <row r="186">
          <cell r="J186" vm="129">
            <v>82.6</v>
          </cell>
        </row>
        <row r="202">
          <cell r="J202" vm="130">
            <v>6263.914199999992</v>
          </cell>
        </row>
        <row r="204">
          <cell r="J204" vm="86">
            <v>941.14149999999995</v>
          </cell>
        </row>
        <row r="205">
          <cell r="J205" vm="131">
            <v>95.02000000000001</v>
          </cell>
        </row>
        <row r="206">
          <cell r="J206" vm="132">
            <v>248.9</v>
          </cell>
        </row>
        <row r="207">
          <cell r="J207">
            <v>597.22149999999988</v>
          </cell>
        </row>
        <row r="219">
          <cell r="J219" vm="85">
            <v>3506.5401000000084</v>
          </cell>
        </row>
        <row r="220">
          <cell r="J220" vm="133">
            <v>3306.5401000000138</v>
          </cell>
        </row>
        <row r="221">
          <cell r="J221">
            <v>0</v>
          </cell>
        </row>
        <row r="222">
          <cell r="J222" vm="134">
            <v>200</v>
          </cell>
        </row>
        <row r="224">
          <cell r="J224" vm="135">
            <v>670.41020000000003</v>
          </cell>
        </row>
        <row r="225">
          <cell r="J225" vm="136">
            <v>670.41020000000003</v>
          </cell>
        </row>
        <row r="229">
          <cell r="J229" vm="107">
            <v>1145.8224</v>
          </cell>
        </row>
        <row r="230">
          <cell r="J230" vm="137">
            <v>402.47019999999998</v>
          </cell>
        </row>
        <row r="231">
          <cell r="J231" vm="70">
            <v>440.48570000000029</v>
          </cell>
        </row>
        <row r="232">
          <cell r="J232">
            <v>302.86650000000003</v>
          </cell>
        </row>
        <row r="245">
          <cell r="J245" vm="72">
            <v>593.69000000000005</v>
          </cell>
        </row>
        <row r="247">
          <cell r="J247" vm="117">
            <v>139.93</v>
          </cell>
        </row>
        <row r="248">
          <cell r="J248" vm="138">
            <v>120.13</v>
          </cell>
        </row>
        <row r="249">
          <cell r="J249" vm="113">
            <v>19.799999999999997</v>
          </cell>
        </row>
        <row r="262">
          <cell r="J262" vm="139">
            <v>453.76</v>
          </cell>
        </row>
        <row r="263">
          <cell r="J263" vm="73">
            <v>394.34000000000003</v>
          </cell>
        </row>
        <row r="264">
          <cell r="J264" vm="140">
            <v>59.42</v>
          </cell>
        </row>
        <row r="286">
          <cell r="J286" vm="101">
            <v>252.89790000000002</v>
          </cell>
        </row>
        <row r="303">
          <cell r="J303" vm="85">
            <v>246.98000000000002</v>
          </cell>
        </row>
        <row r="304">
          <cell r="J304" vm="141">
            <v>246.98000000000002</v>
          </cell>
        </row>
        <row r="309">
          <cell r="J309">
            <v>5.9178999999999995</v>
          </cell>
        </row>
        <row r="318">
          <cell r="J318" vm="99">
            <v>739.77390000000003</v>
          </cell>
        </row>
        <row r="320">
          <cell r="J320">
            <v>739.77390000000003</v>
          </cell>
        </row>
        <row r="321">
          <cell r="J321" vm="112">
            <v>8.2113999999999994</v>
          </cell>
        </row>
        <row r="323">
          <cell r="J323" vm="142">
            <v>80</v>
          </cell>
        </row>
        <row r="324">
          <cell r="J324" vm="114">
            <v>42.612499999999997</v>
          </cell>
        </row>
        <row r="326">
          <cell r="J326" vm="114">
            <v>608.95000000000005</v>
          </cell>
        </row>
        <row r="328">
          <cell r="J328">
            <v>2744.2</v>
          </cell>
        </row>
        <row r="340">
          <cell r="F340" vm="20">
            <v>1681.4942999999998</v>
          </cell>
        </row>
        <row r="381">
          <cell r="F381">
            <v>310.19269999999995</v>
          </cell>
        </row>
        <row r="411">
          <cell r="J411">
            <v>0</v>
          </cell>
        </row>
        <row r="427">
          <cell r="J427" vm="143">
            <v>173.7</v>
          </cell>
        </row>
        <row r="428">
          <cell r="J428">
            <v>0</v>
          </cell>
        </row>
        <row r="429">
          <cell r="J429">
            <v>64.8</v>
          </cell>
        </row>
        <row r="442">
          <cell r="J442">
            <v>0</v>
          </cell>
        </row>
        <row r="443">
          <cell r="J443">
            <v>0</v>
          </cell>
        </row>
        <row r="444">
          <cell r="J444">
            <v>0</v>
          </cell>
        </row>
        <row r="447">
          <cell r="J447">
            <v>0</v>
          </cell>
        </row>
        <row r="449">
          <cell r="J449">
            <v>0</v>
          </cell>
        </row>
        <row r="468">
          <cell r="J468" vm="98">
            <v>115.7</v>
          </cell>
        </row>
        <row r="469">
          <cell r="J469">
            <v>0</v>
          </cell>
        </row>
        <row r="470">
          <cell r="J470">
            <v>198.75</v>
          </cell>
        </row>
        <row r="483">
          <cell r="J483" vm="144">
            <v>626.71500000000015</v>
          </cell>
        </row>
        <row r="484">
          <cell r="J484">
            <v>0</v>
          </cell>
        </row>
        <row r="485">
          <cell r="J485">
            <v>0</v>
          </cell>
        </row>
        <row r="488">
          <cell r="J488">
            <v>0</v>
          </cell>
        </row>
        <row r="490">
          <cell r="J490" vm="96">
            <v>60</v>
          </cell>
        </row>
        <row r="493">
          <cell r="J493">
            <v>0</v>
          </cell>
        </row>
        <row r="494">
          <cell r="J494" vm="145">
            <v>12.923500000000001</v>
          </cell>
        </row>
        <row r="495">
          <cell r="J495">
            <v>21.142699999999998</v>
          </cell>
        </row>
        <row r="506">
          <cell r="J506" vm="146">
            <v>374.64</v>
          </cell>
        </row>
        <row r="508">
          <cell r="J508">
            <v>374.64</v>
          </cell>
        </row>
        <row r="509">
          <cell r="J509">
            <v>0</v>
          </cell>
        </row>
        <row r="511">
          <cell r="J511" vm="147">
            <v>179.64</v>
          </cell>
        </row>
        <row r="512">
          <cell r="J512">
            <v>0</v>
          </cell>
        </row>
        <row r="513">
          <cell r="J513" vm="93">
            <v>195</v>
          </cell>
        </row>
        <row r="514">
          <cell r="J514">
            <v>0</v>
          </cell>
        </row>
        <row r="522">
          <cell r="J522" vm="92">
            <v>1004</v>
          </cell>
        </row>
        <row r="561">
          <cell r="F561" vm="67">
            <v>15519.139141666672</v>
          </cell>
          <cell r="I561" vm="26">
            <v>17566.265577777787</v>
          </cell>
          <cell r="J561" vm="81">
            <v>17761.571016666679</v>
          </cell>
        </row>
        <row r="758">
          <cell r="F758" vm="39">
            <v>0.27949810330195163</v>
          </cell>
          <cell r="J758" vm="68">
            <v>0.27716056530796901</v>
          </cell>
          <cell r="T758" vm="48">
            <v>0.29828599920097021</v>
          </cell>
          <cell r="X758" vm="65">
            <v>0.27591022220818273</v>
          </cell>
        </row>
        <row r="760">
          <cell r="F760" vm="37">
            <v>0.25368455574464371</v>
          </cell>
          <cell r="J760" vm="118">
            <v>0.23493957216475803</v>
          </cell>
          <cell r="T760" vm="47">
            <v>0.27059952894801265</v>
          </cell>
          <cell r="X760" vm="148">
            <v>0.24342689887208313</v>
          </cell>
        </row>
        <row r="775">
          <cell r="F775" vm="36">
            <v>0.30475687144410402</v>
          </cell>
          <cell r="J775" vm="149">
            <v>0.30395551415516464</v>
          </cell>
          <cell r="T775" vm="56">
            <v>0.32765662797159173</v>
          </cell>
          <cell r="X775" vm="84">
            <v>0.2981195483796294</v>
          </cell>
        </row>
        <row r="784">
          <cell r="F784" vm="41">
            <v>0.34185295611073863</v>
          </cell>
          <cell r="J784" vm="108">
            <v>0.30273242222756419</v>
          </cell>
          <cell r="T784" vm="52">
            <v>0.37005751936117626</v>
          </cell>
          <cell r="X784" vm="27">
            <v>0.29957577264828056</v>
          </cell>
        </row>
        <row r="789">
          <cell r="F789" vm="42">
            <v>0.168966314447727</v>
          </cell>
          <cell r="J789">
            <v>0.16534071417559884</v>
          </cell>
          <cell r="T789" vm="58">
            <v>0.14738307267094605</v>
          </cell>
          <cell r="X789">
            <v>0.13928454212445901</v>
          </cell>
        </row>
        <row r="806">
          <cell r="F806" vm="34">
            <v>0.21057496920176114</v>
          </cell>
          <cell r="J806" vm="82">
            <v>0.23078067268922897</v>
          </cell>
          <cell r="T806" vm="59">
            <v>0.17423767300638202</v>
          </cell>
          <cell r="X806" vm="84">
            <v>0.17803943488046148</v>
          </cell>
        </row>
        <row r="807">
          <cell r="F807" vm="33">
            <v>0.13514174719843694</v>
          </cell>
          <cell r="J807">
            <v>0.14634841019784742</v>
          </cell>
          <cell r="T807" vm="49">
            <v>0.12506493997290327</v>
          </cell>
          <cell r="X807">
            <v>0.13192635134365699</v>
          </cell>
        </row>
        <row r="811">
          <cell r="F811" vm="40">
            <v>0.29345519724520736</v>
          </cell>
          <cell r="J811" vm="150">
            <v>0.29041024626370576</v>
          </cell>
          <cell r="T811" vm="57">
            <v>0.32195735400347436</v>
          </cell>
          <cell r="X811" vm="75">
            <v>0.31056972445358222</v>
          </cell>
        </row>
        <row r="812">
          <cell r="F812" vm="43">
            <v>0.25842373995037249</v>
          </cell>
          <cell r="J812" vm="116">
            <v>0.24440605238771748</v>
          </cell>
          <cell r="T812" vm="60">
            <v>0.28295951540324626</v>
          </cell>
          <cell r="X812" vm="151">
            <v>0.26598292130839779</v>
          </cell>
        </row>
        <row r="813">
          <cell r="F813" vm="44">
            <v>0.24573514537632035</v>
          </cell>
          <cell r="J813" vm="95">
            <v>0.23414602229969042</v>
          </cell>
          <cell r="T813" vm="55">
            <v>0.26087005045318695</v>
          </cell>
          <cell r="X813" vm="152">
            <v>0.25993293798505934</v>
          </cell>
        </row>
        <row r="814">
          <cell r="F814" vm="45">
            <v>0.28543046623967533</v>
          </cell>
          <cell r="J814" vm="110">
            <v>0.2784273012021769</v>
          </cell>
          <cell r="T814" vm="54">
            <v>0.32672717342066987</v>
          </cell>
          <cell r="X814" vm="153">
            <v>0.28706257090032106</v>
          </cell>
        </row>
        <row r="815">
          <cell r="F815" vm="38">
            <v>0.25389541856090131</v>
          </cell>
          <cell r="J815" vm="71">
            <v>0.2327083662742768</v>
          </cell>
          <cell r="T815" vm="53">
            <v>0.2771681064009246</v>
          </cell>
          <cell r="X815" vm="154">
            <v>0.25839678366204671</v>
          </cell>
        </row>
        <row r="816">
          <cell r="F816" vm="46">
            <v>0.30853198567680407</v>
          </cell>
          <cell r="J816" vm="97">
            <v>0.31393801173749014</v>
          </cell>
          <cell r="T816" vm="51">
            <v>0.33615886993503946</v>
          </cell>
          <cell r="X816" vm="94">
            <v>0.33686758635089442</v>
          </cell>
        </row>
        <row r="819">
          <cell r="F819" vm="35">
            <v>0.38960122874957143</v>
          </cell>
          <cell r="J819" vm="155">
            <v>0.37299317635476309</v>
          </cell>
          <cell r="T819" vm="50">
            <v>0.43125724196546211</v>
          </cell>
          <cell r="X819" vm="66">
            <v>0.36401389351808283</v>
          </cell>
        </row>
        <row r="839">
          <cell r="F839">
            <v>0.97637810627529453</v>
          </cell>
          <cell r="J839">
            <v>0.94718714126695358</v>
          </cell>
        </row>
        <row r="840">
          <cell r="J840">
            <v>0.93292847457102335</v>
          </cell>
        </row>
        <row r="841">
          <cell r="J841">
            <v>0.95377309612258432</v>
          </cell>
        </row>
        <row r="842">
          <cell r="J842">
            <v>0.94213321387302662</v>
          </cell>
        </row>
        <row r="859">
          <cell r="F859">
            <v>11544.7028261</v>
          </cell>
          <cell r="J859">
            <v>11545.454517500002</v>
          </cell>
        </row>
        <row r="879">
          <cell r="F879">
            <v>20169.673006500001</v>
          </cell>
          <cell r="J879">
            <v>23346.764384100003</v>
          </cell>
        </row>
        <row r="884">
          <cell r="F884">
            <v>3440.9851900000008</v>
          </cell>
          <cell r="J884">
            <v>4184.3642978999997</v>
          </cell>
        </row>
        <row r="889">
          <cell r="F889">
            <v>1396.1159899999996</v>
          </cell>
          <cell r="J889">
            <v>1527.1904300000006</v>
          </cell>
        </row>
        <row r="903">
          <cell r="F903">
            <v>36551.4770126</v>
          </cell>
          <cell r="J903">
            <v>40603.7736295</v>
          </cell>
        </row>
        <row r="910">
          <cell r="F910">
            <v>31018.310728700009</v>
          </cell>
          <cell r="J910">
            <v>30806.695566399998</v>
          </cell>
        </row>
        <row r="912">
          <cell r="F912">
            <v>10796.145280000002</v>
          </cell>
          <cell r="J912">
            <v>10248.418500000002</v>
          </cell>
        </row>
        <row r="913">
          <cell r="F913">
            <v>4203.4434000000001</v>
          </cell>
          <cell r="J913">
            <v>4070.2593099999995</v>
          </cell>
        </row>
        <row r="914">
          <cell r="F914">
            <v>2924.0419999999999</v>
          </cell>
          <cell r="J914">
            <v>2791.6652400000007</v>
          </cell>
        </row>
        <row r="915">
          <cell r="F915">
            <v>3668.6598800000002</v>
          </cell>
          <cell r="J915">
            <v>3386.4939499999996</v>
          </cell>
        </row>
        <row r="927">
          <cell r="F927">
            <v>17582.420888700002</v>
          </cell>
          <cell r="J927">
            <v>17535.976758500001</v>
          </cell>
        </row>
        <row r="932">
          <cell r="F932">
            <v>2639.7445600000001</v>
          </cell>
          <cell r="J932">
            <v>3022.3003079</v>
          </cell>
        </row>
        <row r="951">
          <cell r="F951">
            <v>4566.4693505000005</v>
          </cell>
          <cell r="J951">
            <v>8663.7891256999992</v>
          </cell>
        </row>
        <row r="953">
          <cell r="F953">
            <v>748.5575461000002</v>
          </cell>
          <cell r="J953">
            <v>1297.0360175000001</v>
          </cell>
        </row>
        <row r="968">
          <cell r="F968">
            <v>2294.5328944000003</v>
          </cell>
          <cell r="J968">
            <v>5507.7743482000005</v>
          </cell>
        </row>
        <row r="973">
          <cell r="F973">
            <v>801.24063000000012</v>
          </cell>
          <cell r="J973">
            <v>1162.0639900000001</v>
          </cell>
        </row>
        <row r="978">
          <cell r="F978">
            <v>722.13828000000001</v>
          </cell>
          <cell r="J978">
            <v>696.91476999999998</v>
          </cell>
        </row>
        <row r="992">
          <cell r="F992">
            <v>966.69693340000026</v>
          </cell>
          <cell r="J992">
            <v>1133.2889373999999</v>
          </cell>
        </row>
        <row r="1009">
          <cell r="F1009">
            <v>292.71922339999992</v>
          </cell>
          <cell r="J1009">
            <v>303.01327739999994</v>
          </cell>
        </row>
        <row r="1019">
          <cell r="F1019">
            <v>673.97771</v>
          </cell>
          <cell r="J1019">
            <v>830.27565999999968</v>
          </cell>
        </row>
      </sheetData>
    </sheetDataSet>
  </externalBook>
</externalLink>
</file>

<file path=xl/theme/theme1.xml><?xml version="1.0" encoding="utf-8"?>
<a:theme xmlns:a="http://schemas.openxmlformats.org/drawingml/2006/main" name="EDPR - IR - New Identity">
  <a:themeElements>
    <a:clrScheme name="EDP Colors 1">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Custom 2">
      <a:majorFont>
        <a:latin typeface="FT Base"/>
        <a:ea typeface=""/>
        <a:cs typeface=""/>
      </a:majorFont>
      <a:minorFont>
        <a:latin typeface="FT Base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DPR - IR - New Identity" id="{9882C4C4-2B7F-4305-99B3-F2D92AC4C2FB}" vid="{A68A1216-798E-43C2-86FB-44E0F2BF4E1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95"/>
  <sheetViews>
    <sheetView showGridLines="0" tabSelected="1" view="pageBreakPreview" zoomScale="70" zoomScaleNormal="70" zoomScaleSheetLayoutView="70" workbookViewId="0"/>
  </sheetViews>
  <sheetFormatPr defaultColWidth="12.54296875" defaultRowHeight="18" customHeight="1" x14ac:dyDescent="0.25"/>
  <cols>
    <col min="1" max="1" width="4.81640625" style="120" customWidth="1"/>
    <col min="2" max="18" width="12.81640625" style="121" customWidth="1"/>
    <col min="19" max="19" width="12.54296875" style="121" customWidth="1"/>
    <col min="20" max="20" width="28.54296875" style="121" bestFit="1" customWidth="1"/>
    <col min="21" max="21" width="10.54296875" style="121" customWidth="1"/>
    <col min="22" max="22" width="11.1796875" style="121" bestFit="1" customWidth="1"/>
    <col min="23" max="27" width="10.54296875" style="121" customWidth="1"/>
    <col min="28" max="28" width="17.54296875" style="121" bestFit="1" customWidth="1"/>
    <col min="29" max="16384" width="12.54296875" style="121"/>
  </cols>
  <sheetData>
    <row r="1" spans="1:31" ht="18" customHeight="1" thickBot="1" x14ac:dyDescent="0.3">
      <c r="H1" s="122"/>
      <c r="I1" s="122"/>
      <c r="Y1" s="123"/>
      <c r="Z1" s="123"/>
      <c r="AA1" s="123"/>
      <c r="AB1" s="123"/>
      <c r="AC1" s="123"/>
      <c r="AD1" s="123"/>
    </row>
    <row r="2" spans="1:31" ht="18" customHeight="1" thickBot="1" x14ac:dyDescent="0.3">
      <c r="B2" s="230" t="s">
        <v>1</v>
      </c>
      <c r="C2" s="231">
        <v>2025</v>
      </c>
      <c r="D2" s="232" t="str">
        <f>RIGHT(Cur_Period,2)</f>
        <v>25</v>
      </c>
      <c r="E2" s="232">
        <f>+Cur_Period</f>
        <v>2025</v>
      </c>
      <c r="F2" s="232" t="s">
        <v>192</v>
      </c>
      <c r="G2" s="230" t="s">
        <v>2</v>
      </c>
      <c r="H2" s="233">
        <v>2025</v>
      </c>
      <c r="I2" s="122"/>
      <c r="K2" s="575" t="s">
        <v>3</v>
      </c>
      <c r="M2" s="582" t="s">
        <v>4</v>
      </c>
      <c r="N2" s="585"/>
      <c r="P2" s="230"/>
      <c r="Q2" s="410"/>
      <c r="R2" s="410"/>
      <c r="Y2" s="123"/>
      <c r="Z2" s="123"/>
      <c r="AA2" s="123"/>
      <c r="AB2" s="123"/>
      <c r="AC2" s="123"/>
      <c r="AD2" s="123"/>
    </row>
    <row r="3" spans="1:31" ht="18" customHeight="1" thickBot="1" x14ac:dyDescent="0.3">
      <c r="B3" s="230" t="s">
        <v>5</v>
      </c>
      <c r="C3" s="231">
        <v>2024</v>
      </c>
      <c r="D3" s="232" t="str">
        <f>RIGHT(Pre_Period,2)</f>
        <v>24</v>
      </c>
      <c r="E3" s="232">
        <f>+Pre_Period</f>
        <v>2024</v>
      </c>
      <c r="F3" s="232" t="s">
        <v>193</v>
      </c>
      <c r="G3" s="122"/>
      <c r="H3" s="122"/>
      <c r="I3" s="122"/>
      <c r="K3" s="576"/>
      <c r="M3" s="583"/>
      <c r="N3" s="586"/>
      <c r="P3" s="230"/>
      <c r="Q3" s="410"/>
      <c r="R3" s="410"/>
      <c r="Y3" s="123"/>
      <c r="Z3" s="123"/>
      <c r="AA3" s="123"/>
      <c r="AB3" s="123"/>
      <c r="AC3" s="123"/>
      <c r="AD3" s="123"/>
    </row>
    <row r="4" spans="1:31" ht="18" customHeight="1" thickBot="1" x14ac:dyDescent="0.3">
      <c r="H4" s="376"/>
      <c r="K4" s="577"/>
      <c r="M4" s="584"/>
      <c r="N4" s="587"/>
    </row>
    <row r="6" spans="1:31" ht="18" customHeight="1" x14ac:dyDescent="0.3">
      <c r="A6" s="120">
        <v>1</v>
      </c>
      <c r="D6" s="124"/>
      <c r="E6" s="124"/>
      <c r="F6" s="124"/>
      <c r="G6" s="124"/>
      <c r="H6" s="124"/>
      <c r="I6" s="124"/>
      <c r="J6" s="124"/>
      <c r="K6" s="124"/>
      <c r="L6" s="124"/>
      <c r="M6" s="124"/>
      <c r="N6" s="124"/>
      <c r="O6" s="124"/>
      <c r="P6" s="124"/>
      <c r="Q6" s="124"/>
      <c r="R6" s="124"/>
      <c r="S6" s="124"/>
      <c r="T6" s="347" t="s">
        <v>6</v>
      </c>
      <c r="U6" s="346" t="s">
        <v>199</v>
      </c>
      <c r="V6" s="367"/>
      <c r="W6" s="124"/>
      <c r="X6" s="124"/>
      <c r="Z6" s="125"/>
      <c r="AA6" s="126"/>
      <c r="AB6" s="126"/>
    </row>
    <row r="7" spans="1:31" ht="51" customHeight="1" x14ac:dyDescent="0.25">
      <c r="A7" s="120">
        <f t="shared" ref="A7:A38" si="0">A6+1</f>
        <v>2</v>
      </c>
      <c r="C7" s="473" t="str">
        <f>+IF($K$2="EN",Text!$B$2,Text!$C$2)</f>
        <v>Operating Data Preview 2025</v>
      </c>
      <c r="I7" s="411"/>
      <c r="L7" s="129"/>
      <c r="M7" s="268" t="str">
        <f>+IF($N$2="YES","DRAFT","")</f>
        <v/>
      </c>
      <c r="N7" s="412"/>
    </row>
    <row r="8" spans="1:31" ht="18" customHeight="1" thickBot="1" x14ac:dyDescent="0.4">
      <c r="A8" s="120">
        <f t="shared" si="0"/>
        <v>3</v>
      </c>
      <c r="C8" s="472" t="str">
        <f>+IF($K$2="EN",Text!$B$5,Text!$C$5)</f>
        <v>Madrid, January 22nd, 2026</v>
      </c>
      <c r="D8" s="131"/>
      <c r="E8" s="131"/>
      <c r="F8" s="131"/>
      <c r="G8" s="131"/>
      <c r="H8" s="131"/>
      <c r="I8" s="131"/>
      <c r="J8" s="131"/>
      <c r="K8" s="131"/>
      <c r="L8" s="131"/>
      <c r="M8" s="131"/>
      <c r="N8" s="131"/>
      <c r="O8" s="131"/>
      <c r="P8" s="131"/>
      <c r="Q8" s="131"/>
      <c r="T8" s="254" t="s">
        <v>7</v>
      </c>
      <c r="U8" s="132"/>
      <c r="V8" s="132"/>
      <c r="W8" s="132"/>
      <c r="X8" s="132"/>
      <c r="Y8" s="132"/>
      <c r="Z8" s="122"/>
      <c r="AA8" s="126"/>
      <c r="AB8" s="126"/>
    </row>
    <row r="9" spans="1:31" ht="18" customHeight="1" x14ac:dyDescent="0.25">
      <c r="A9" s="120">
        <f t="shared" si="0"/>
        <v>4</v>
      </c>
      <c r="U9" s="256"/>
      <c r="V9" s="256"/>
      <c r="W9" s="256"/>
      <c r="X9" s="133"/>
      <c r="AA9" s="126"/>
      <c r="AB9" s="126"/>
    </row>
    <row r="10" spans="1:31" ht="18" customHeight="1" thickBot="1" x14ac:dyDescent="0.55000000000000004">
      <c r="A10" s="120">
        <f t="shared" si="0"/>
        <v>5</v>
      </c>
      <c r="C10" s="471" t="str">
        <f>+IF($K$2="EN",Text!$B$6,Text!$C$6)</f>
        <v>Key Highlights</v>
      </c>
      <c r="D10" s="135"/>
      <c r="E10" s="135"/>
      <c r="F10" s="135"/>
      <c r="G10" s="135"/>
      <c r="H10" s="135"/>
      <c r="I10" s="135"/>
      <c r="J10" s="135"/>
      <c r="K10" s="135"/>
      <c r="L10" s="135"/>
      <c r="M10" s="135"/>
      <c r="N10" s="135"/>
      <c r="O10" s="135"/>
      <c r="P10" s="135"/>
      <c r="Q10" s="135"/>
      <c r="T10" s="136"/>
      <c r="U10" s="137" t="s">
        <v>9</v>
      </c>
      <c r="V10" s="137" t="s">
        <v>10</v>
      </c>
      <c r="W10" s="137" t="s">
        <v>11</v>
      </c>
      <c r="X10" s="137" t="s">
        <v>12</v>
      </c>
      <c r="Y10" s="137" t="s">
        <v>13</v>
      </c>
      <c r="Z10" s="137" t="s">
        <v>202</v>
      </c>
      <c r="AA10" s="126"/>
      <c r="AB10" s="126"/>
    </row>
    <row r="11" spans="1:31" ht="18" customHeight="1" x14ac:dyDescent="0.25">
      <c r="A11" s="120">
        <f t="shared" si="0"/>
        <v>6</v>
      </c>
      <c r="C11" s="133"/>
      <c r="T11" s="138" t="s">
        <v>14</v>
      </c>
      <c r="U11" s="139">
        <f>+F37</f>
        <v>20390.958000000017</v>
      </c>
      <c r="V11" s="139">
        <f>+F37/1000</f>
        <v>20.390958000000015</v>
      </c>
      <c r="W11" s="139"/>
      <c r="X11" s="141">
        <f>+F37/G37-1</f>
        <v>5.5684377398410367E-2</v>
      </c>
      <c r="Y11" s="139">
        <f>+J37/1000</f>
        <v>1.0755657000000001</v>
      </c>
      <c r="Z11" s="252">
        <f>+V11-[1]EN!$V$11</f>
        <v>0.58837449999999691</v>
      </c>
      <c r="AA11" s="126"/>
    </row>
    <row r="12" spans="1:31" ht="18" customHeight="1" x14ac:dyDescent="0.25">
      <c r="A12" s="120">
        <f t="shared" si="0"/>
        <v>7</v>
      </c>
      <c r="C12" s="133"/>
      <c r="T12" s="140" t="s">
        <v>15</v>
      </c>
      <c r="U12" s="139"/>
      <c r="V12" s="139"/>
      <c r="W12" s="139"/>
      <c r="X12" s="141">
        <f>Charts!C28</f>
        <v>0.32387077644905132</v>
      </c>
      <c r="Y12" s="139"/>
      <c r="AA12" s="126"/>
    </row>
    <row r="13" spans="1:31" ht="18" customHeight="1" x14ac:dyDescent="0.25">
      <c r="A13" s="120">
        <f t="shared" si="0"/>
        <v>8</v>
      </c>
      <c r="C13" s="133"/>
      <c r="T13" s="140" t="s">
        <v>16</v>
      </c>
      <c r="U13" s="139"/>
      <c r="V13" s="139"/>
      <c r="W13" s="139"/>
      <c r="X13" s="141">
        <f>Charts!C29</f>
        <v>0.53010614312481086</v>
      </c>
      <c r="Y13" s="139"/>
    </row>
    <row r="14" spans="1:31" ht="18" customHeight="1" x14ac:dyDescent="0.25">
      <c r="A14" s="120">
        <f t="shared" si="0"/>
        <v>9</v>
      </c>
      <c r="C14" s="133"/>
      <c r="T14" s="140" t="s">
        <v>17</v>
      </c>
      <c r="U14" s="139"/>
      <c r="V14" s="139"/>
      <c r="W14" s="139"/>
      <c r="X14" s="141">
        <f>Charts!C30</f>
        <v>8.9540187371284788E-2</v>
      </c>
      <c r="Y14" s="139"/>
      <c r="AA14" s="122"/>
      <c r="AB14" s="122"/>
      <c r="AC14" s="122"/>
      <c r="AD14" s="122"/>
      <c r="AE14" s="122"/>
    </row>
    <row r="15" spans="1:31" ht="18" customHeight="1" x14ac:dyDescent="0.25">
      <c r="A15" s="120">
        <f t="shared" si="0"/>
        <v>10</v>
      </c>
      <c r="C15" s="133"/>
      <c r="T15" s="140" t="s">
        <v>18</v>
      </c>
      <c r="U15" s="395"/>
      <c r="V15" s="139"/>
      <c r="W15" s="139"/>
      <c r="X15" s="141">
        <f>Charts!C31</f>
        <v>5.6482893054852996E-2</v>
      </c>
      <c r="Y15" s="139"/>
      <c r="AA15" s="122"/>
      <c r="AB15" s="122"/>
      <c r="AC15" s="122"/>
      <c r="AD15" s="122"/>
      <c r="AE15" s="122"/>
    </row>
    <row r="16" spans="1:31" ht="18" customHeight="1" x14ac:dyDescent="0.25">
      <c r="A16" s="120">
        <f t="shared" si="0"/>
        <v>11</v>
      </c>
      <c r="C16" s="133"/>
      <c r="T16" s="138" t="s">
        <v>19</v>
      </c>
      <c r="U16" s="183">
        <f>+H37</f>
        <v>1969.3302000000001</v>
      </c>
      <c r="V16" s="139">
        <f>+U16/1000</f>
        <v>1.9693302000000001</v>
      </c>
      <c r="W16" s="139"/>
      <c r="X16" s="560">
        <f>+U16/G37</f>
        <v>0.10195652043807285</v>
      </c>
      <c r="Y16" s="139">
        <f>+H37/1000</f>
        <v>1.9693302000000001</v>
      </c>
      <c r="Z16" s="252">
        <f>+V16-[1]EN!$V16</f>
        <v>-1.2887848999999998</v>
      </c>
      <c r="AA16" s="122"/>
      <c r="AB16" s="122"/>
      <c r="AC16" s="122"/>
      <c r="AD16" s="122"/>
      <c r="AE16" s="122"/>
    </row>
    <row r="17" spans="1:32" ht="18" customHeight="1" x14ac:dyDescent="0.25">
      <c r="A17" s="120">
        <f t="shared" si="0"/>
        <v>12</v>
      </c>
      <c r="C17" s="133"/>
      <c r="T17" s="140" t="s">
        <v>15</v>
      </c>
      <c r="U17" s="139">
        <f>+H33</f>
        <v>629.80150000000003</v>
      </c>
      <c r="V17" s="139">
        <f>+H33/10^3</f>
        <v>0.62980150000000001</v>
      </c>
      <c r="W17" s="139"/>
      <c r="X17" s="141">
        <f>+U17/$U$16</f>
        <v>0.31980492656843429</v>
      </c>
      <c r="Y17" s="141"/>
      <c r="AA17" s="122"/>
      <c r="AB17" s="122"/>
      <c r="AC17" s="122"/>
      <c r="AD17" s="122"/>
      <c r="AE17" s="122"/>
    </row>
    <row r="18" spans="1:32" ht="18" customHeight="1" x14ac:dyDescent="0.25">
      <c r="A18" s="120">
        <f t="shared" si="0"/>
        <v>13</v>
      </c>
      <c r="C18" s="133"/>
      <c r="T18" s="140" t="s">
        <v>16</v>
      </c>
      <c r="U18" s="139">
        <f>+H34</f>
        <v>1076.0496000000001</v>
      </c>
      <c r="V18" s="139">
        <f>+H34/10^3</f>
        <v>1.0760496000000002</v>
      </c>
      <c r="W18" s="139"/>
      <c r="X18" s="141">
        <f t="shared" ref="X18:X20" si="1">+U18/$U$16</f>
        <v>0.54640384837443712</v>
      </c>
      <c r="Y18" s="141"/>
      <c r="AA18" s="122"/>
      <c r="AB18" s="122"/>
      <c r="AC18" s="122"/>
      <c r="AD18" s="122"/>
      <c r="AE18" s="122"/>
    </row>
    <row r="19" spans="1:32" ht="18" customHeight="1" x14ac:dyDescent="0.25">
      <c r="A19" s="120">
        <f t="shared" si="0"/>
        <v>14</v>
      </c>
      <c r="C19" s="133"/>
      <c r="T19" s="140" t="s">
        <v>17</v>
      </c>
      <c r="U19" s="139">
        <f>+H35</f>
        <v>123.9</v>
      </c>
      <c r="V19" s="139">
        <f>+H35/10^3</f>
        <v>0.12390000000000001</v>
      </c>
      <c r="W19" s="139"/>
      <c r="X19" s="141">
        <f t="shared" si="1"/>
        <v>6.2914792044523563E-2</v>
      </c>
      <c r="Y19" s="141"/>
      <c r="AA19" s="122"/>
      <c r="AB19" s="122"/>
      <c r="AC19" s="122"/>
      <c r="AD19" s="122"/>
      <c r="AE19" s="122"/>
    </row>
    <row r="20" spans="1:32" ht="18" customHeight="1" x14ac:dyDescent="0.25">
      <c r="A20" s="120">
        <f t="shared" si="0"/>
        <v>15</v>
      </c>
      <c r="C20" s="133"/>
      <c r="T20" s="140" t="s">
        <v>18</v>
      </c>
      <c r="U20" s="139">
        <f>+H36</f>
        <v>139.57910000000001</v>
      </c>
      <c r="V20" s="139">
        <f>+H36/10^3</f>
        <v>0.13957910000000001</v>
      </c>
      <c r="W20" s="139"/>
      <c r="X20" s="141">
        <f t="shared" si="1"/>
        <v>7.0876433012605003E-2</v>
      </c>
      <c r="Y20" s="141"/>
      <c r="AA20" s="122"/>
      <c r="AB20" s="122"/>
      <c r="AC20" s="122"/>
      <c r="AD20" s="122"/>
      <c r="AE20" s="122"/>
    </row>
    <row r="21" spans="1:32" ht="18" customHeight="1" x14ac:dyDescent="0.25">
      <c r="A21" s="120">
        <f t="shared" si="0"/>
        <v>16</v>
      </c>
      <c r="C21" s="133"/>
      <c r="T21" s="138" t="s">
        <v>20</v>
      </c>
      <c r="U21" s="265">
        <f>+H126</f>
        <v>-893.76439999999991</v>
      </c>
      <c r="V21" s="264">
        <f>+U21/1000</f>
        <v>-0.8937643999999999</v>
      </c>
      <c r="W21" s="150"/>
      <c r="X21" s="150"/>
      <c r="Y21" s="264">
        <f>+I37/1000</f>
        <v>-0.89376449999999985</v>
      </c>
      <c r="Z21" s="252">
        <f>+V21-[1]EN!$V21</f>
        <v>-0.6483469999999999</v>
      </c>
      <c r="AA21" s="122"/>
      <c r="AB21" s="122"/>
      <c r="AC21" s="122"/>
      <c r="AD21" s="122"/>
      <c r="AE21" s="122"/>
    </row>
    <row r="22" spans="1:32" ht="18" customHeight="1" x14ac:dyDescent="0.25">
      <c r="A22" s="120">
        <f t="shared" si="0"/>
        <v>17</v>
      </c>
      <c r="C22" s="133"/>
      <c r="T22" s="138" t="s">
        <v>21</v>
      </c>
      <c r="U22" s="139">
        <f>+J126</f>
        <v>1648.3712</v>
      </c>
      <c r="V22" s="139">
        <f>+J126/1000</f>
        <v>1.6483712000000001</v>
      </c>
      <c r="W22" s="139"/>
      <c r="X22" s="150"/>
      <c r="Y22" s="139"/>
      <c r="Z22" s="252">
        <f>+V22-[1]EN!$V22</f>
        <v>-0.69654609999999995</v>
      </c>
      <c r="AA22" s="122"/>
      <c r="AB22" s="122"/>
      <c r="AC22" s="122"/>
      <c r="AD22" s="122"/>
      <c r="AE22" s="122"/>
    </row>
    <row r="23" spans="1:32" ht="18" customHeight="1" x14ac:dyDescent="0.25">
      <c r="A23" s="120">
        <f t="shared" si="0"/>
        <v>18</v>
      </c>
      <c r="C23" s="133"/>
      <c r="T23" s="140" t="s">
        <v>22</v>
      </c>
      <c r="U23" s="139">
        <f>+'[2]DH UC'!$O$31</f>
        <v>238.5</v>
      </c>
      <c r="V23" s="139">
        <f>+U23/10^3</f>
        <v>0.23849999999999999</v>
      </c>
      <c r="W23" s="150"/>
      <c r="X23" s="325">
        <f>+V23/V22</f>
        <v>0.14468828380403637</v>
      </c>
      <c r="Y23" s="150"/>
      <c r="AA23" s="122"/>
      <c r="AB23" s="122"/>
      <c r="AC23" s="122"/>
      <c r="AD23" s="122"/>
      <c r="AE23" s="122"/>
    </row>
    <row r="24" spans="1:32" ht="18" customHeight="1" x14ac:dyDescent="0.25">
      <c r="A24" s="120">
        <f t="shared" si="0"/>
        <v>19</v>
      </c>
      <c r="C24" s="133"/>
      <c r="T24" s="140" t="s">
        <v>23</v>
      </c>
      <c r="U24" s="139">
        <f>+'[2]DH UC'!$O$19</f>
        <v>704.2</v>
      </c>
      <c r="V24" s="139">
        <f t="shared" ref="V24:V27" si="2">+U24/10^3</f>
        <v>0.70420000000000005</v>
      </c>
      <c r="W24" s="150"/>
      <c r="X24" s="325">
        <f>+V24/V22</f>
        <v>0.42720959939120506</v>
      </c>
      <c r="Y24" s="150"/>
      <c r="AA24" s="122"/>
      <c r="AB24" s="122"/>
      <c r="AC24" s="122"/>
      <c r="AD24" s="122"/>
      <c r="AE24" s="122"/>
    </row>
    <row r="25" spans="1:32" ht="18" customHeight="1" x14ac:dyDescent="0.25">
      <c r="A25" s="120">
        <f t="shared" si="0"/>
        <v>20</v>
      </c>
      <c r="C25" s="133"/>
      <c r="T25" s="140" t="s">
        <v>24</v>
      </c>
      <c r="U25" s="139">
        <f>+'[2]DH UC'!$O$10</f>
        <v>45.466200000000008</v>
      </c>
      <c r="V25" s="139">
        <f t="shared" si="2"/>
        <v>4.5466200000000005E-2</v>
      </c>
      <c r="AA25" s="122"/>
      <c r="AB25" s="122"/>
      <c r="AC25" s="122"/>
      <c r="AD25" s="122"/>
      <c r="AE25" s="122"/>
    </row>
    <row r="26" spans="1:32" ht="18" customHeight="1" x14ac:dyDescent="0.25">
      <c r="A26" s="120">
        <f t="shared" si="0"/>
        <v>21</v>
      </c>
      <c r="T26" s="140" t="s">
        <v>25</v>
      </c>
      <c r="U26" s="139">
        <f>+'[2]DH UC'!$O$24</f>
        <v>285.565</v>
      </c>
      <c r="V26" s="139">
        <f t="shared" si="2"/>
        <v>0.28556500000000001</v>
      </c>
      <c r="AA26" s="122"/>
      <c r="AB26" s="122"/>
      <c r="AC26" s="122"/>
      <c r="AD26" s="122"/>
      <c r="AE26" s="122"/>
    </row>
    <row r="27" spans="1:32" ht="18" customHeight="1" x14ac:dyDescent="0.25">
      <c r="A27" s="120">
        <f t="shared" si="0"/>
        <v>22</v>
      </c>
      <c r="T27" s="140" t="s">
        <v>26</v>
      </c>
      <c r="U27" s="139">
        <f>+'[2]DH UC'!$O$15+'[2]DH UC'!$O$17</f>
        <v>374.64</v>
      </c>
      <c r="V27" s="139">
        <f t="shared" si="2"/>
        <v>0.37463999999999997</v>
      </c>
      <c r="AA27" s="122"/>
      <c r="AB27" s="122"/>
      <c r="AC27" s="122"/>
      <c r="AD27" s="122"/>
      <c r="AE27" s="122"/>
    </row>
    <row r="28" spans="1:32" ht="18" customHeight="1" x14ac:dyDescent="0.25">
      <c r="A28" s="120">
        <f t="shared" si="0"/>
        <v>23</v>
      </c>
      <c r="T28" s="138" t="s">
        <v>27</v>
      </c>
      <c r="U28" s="139"/>
      <c r="V28" s="139"/>
      <c r="W28" s="139">
        <f>G64/1000</f>
        <v>40.603773629499997</v>
      </c>
      <c r="X28" s="150"/>
      <c r="Y28" s="141">
        <f>J64</f>
        <v>0.11086546832301991</v>
      </c>
      <c r="Z28" s="252">
        <f>+W28-[1]EN!$W28</f>
        <v>10.419311596599989</v>
      </c>
      <c r="AA28" s="122"/>
      <c r="AB28" s="122"/>
      <c r="AC28" s="122"/>
      <c r="AD28" s="122"/>
      <c r="AE28" s="122"/>
    </row>
    <row r="29" spans="1:32" ht="18" customHeight="1" x14ac:dyDescent="0.25">
      <c r="A29" s="120">
        <f t="shared" si="0"/>
        <v>24</v>
      </c>
      <c r="T29" s="138" t="s">
        <v>28</v>
      </c>
      <c r="U29" s="139"/>
      <c r="V29" s="139"/>
      <c r="W29" s="139"/>
      <c r="X29" s="141" vm="322">
        <f>F84</f>
        <v>0.27716056530796901</v>
      </c>
      <c r="Y29" s="142">
        <f>+H84</f>
        <v>-0.23375379939826191</v>
      </c>
      <c r="Z29" s="142">
        <f>+X29-[1]EN!$X29</f>
        <v>-3.0615163783914712E-4</v>
      </c>
      <c r="AA29" s="122"/>
      <c r="AB29" s="122"/>
      <c r="AC29" s="122"/>
      <c r="AD29" s="122"/>
      <c r="AE29" s="122"/>
      <c r="AF29" s="146"/>
    </row>
    <row r="30" spans="1:32" ht="18" customHeight="1" thickBot="1" x14ac:dyDescent="0.55000000000000004">
      <c r="A30" s="120">
        <f t="shared" si="0"/>
        <v>25</v>
      </c>
      <c r="C30" s="477" t="str">
        <f>+IF($K$2="EN",Text!$B$7,Text!$C$7)</f>
        <v>Installed Capacity</v>
      </c>
      <c r="D30" s="145"/>
      <c r="E30" s="145"/>
      <c r="F30" s="145"/>
      <c r="G30" s="145"/>
      <c r="H30" s="145"/>
      <c r="I30" s="145"/>
      <c r="J30" s="145"/>
      <c r="L30" s="570" t="str">
        <f>+IF($K$2="EN",Text!$B$8,Text!$C$8)</f>
        <v>Installed Capacity by Region</v>
      </c>
      <c r="M30" s="570"/>
      <c r="N30" s="570"/>
      <c r="O30" s="570"/>
      <c r="P30" s="570"/>
      <c r="Q30" s="570"/>
      <c r="T30" s="138" t="s">
        <v>29</v>
      </c>
      <c r="U30" s="150"/>
      <c r="V30" s="150"/>
      <c r="W30" s="150"/>
      <c r="X30" s="141">
        <f>O88</f>
        <v>0.94718714126695358</v>
      </c>
      <c r="Y30" s="142">
        <f>+Q88</f>
        <v>-2.9190965008340952</v>
      </c>
      <c r="Z30" s="142">
        <f>+X30-[1]EN!$X30</f>
        <v>-1.0435172364641088E-2</v>
      </c>
      <c r="AA30" s="122"/>
      <c r="AB30" s="122"/>
      <c r="AC30" s="122"/>
      <c r="AD30" s="122"/>
      <c r="AE30" s="122"/>
      <c r="AF30" s="146"/>
    </row>
    <row r="31" spans="1:32" ht="18" customHeight="1" x14ac:dyDescent="0.25">
      <c r="A31" s="120">
        <f t="shared" si="0"/>
        <v>26</v>
      </c>
      <c r="G31" s="288"/>
      <c r="H31" s="315"/>
      <c r="T31" s="138" t="s">
        <v>22</v>
      </c>
      <c r="U31" s="150"/>
      <c r="V31" s="139">
        <f>F148/1000</f>
        <v>13.134372000000001</v>
      </c>
      <c r="W31" s="150"/>
      <c r="X31" s="326"/>
      <c r="Y31" s="150"/>
      <c r="AB31" s="122"/>
      <c r="AC31" s="122"/>
      <c r="AD31" s="122"/>
      <c r="AE31" s="122"/>
    </row>
    <row r="32" spans="1:32" ht="18" customHeight="1" x14ac:dyDescent="0.25">
      <c r="A32" s="120">
        <f t="shared" si="0"/>
        <v>27</v>
      </c>
      <c r="C32" s="478" t="str">
        <f>+IF($K$2="EN",Text!$B$58,Text!$C$58)</f>
        <v>EBITDA + Eq. MW</v>
      </c>
      <c r="D32" s="418"/>
      <c r="E32" s="418"/>
      <c r="F32" s="481">
        <f>+Cur_Period</f>
        <v>2025</v>
      </c>
      <c r="G32" s="481">
        <f>Pre_Period</f>
        <v>2024</v>
      </c>
      <c r="H32" s="481" t="str">
        <f>+IF($K$2="EN",Text!$B$61,Text!$C$61)</f>
        <v>Additions</v>
      </c>
      <c r="I32" s="481" t="str">
        <f>+IF($K$2="EN",Text!$B$62,Text!$C$62)</f>
        <v>AR/Decom.</v>
      </c>
      <c r="J32" s="481" t="s">
        <v>13</v>
      </c>
      <c r="T32" s="138" t="s">
        <v>30</v>
      </c>
      <c r="U32" s="150"/>
      <c r="V32" s="139">
        <f>F172/1000</f>
        <v>6.5168120999999921</v>
      </c>
      <c r="W32" s="150"/>
      <c r="X32" s="326"/>
      <c r="Y32" s="150"/>
      <c r="AB32" s="122"/>
      <c r="AC32" s="122"/>
      <c r="AD32" s="122"/>
      <c r="AE32" s="122"/>
    </row>
    <row r="33" spans="1:34" ht="18" customHeight="1" x14ac:dyDescent="0.25">
      <c r="A33" s="120">
        <f t="shared" si="0"/>
        <v>28</v>
      </c>
      <c r="C33" s="479" t="str">
        <f>+IF($K$2="EN",Text!$B$27,Text!$C$27)</f>
        <v>Europe</v>
      </c>
      <c r="D33" s="419"/>
      <c r="E33" s="419"/>
      <c r="F33" s="482">
        <f>SUMIFS($F$104:$F$126,$C$104:$C$126,$C33)</f>
        <v>6604.0354000000007</v>
      </c>
      <c r="G33" s="483">
        <f>+[3]Backup!$F$13</f>
        <v>6814.054900000001</v>
      </c>
      <c r="H33" s="484">
        <f>+'[2]Inst Capacity YoY'!$C$5</f>
        <v>629.80150000000003</v>
      </c>
      <c r="I33" s="485">
        <f>+'[2]Inst Capacity YoY'!$D$5</f>
        <v>-839.82099999999991</v>
      </c>
      <c r="J33" s="486">
        <f>+'[2]Inst Capacity YoY'!$E$5</f>
        <v>-210.01949999999988</v>
      </c>
      <c r="T33" s="138" t="s">
        <v>31</v>
      </c>
      <c r="U33" s="150"/>
      <c r="V33" s="139">
        <f>F183/1000</f>
        <v>2.7441999999999998</v>
      </c>
      <c r="W33" s="150"/>
      <c r="X33" s="326"/>
      <c r="Y33" s="150"/>
      <c r="AB33" s="122"/>
      <c r="AC33" s="122"/>
      <c r="AD33" s="122"/>
      <c r="AE33" s="122"/>
    </row>
    <row r="34" spans="1:34" ht="18" customHeight="1" x14ac:dyDescent="0.3">
      <c r="A34" s="120">
        <f t="shared" si="0"/>
        <v>29</v>
      </c>
      <c r="C34" s="479" t="str">
        <f>+IF($K$2="EN",Text!$B$34,Text!$C$34)</f>
        <v>North America</v>
      </c>
      <c r="D34" s="419"/>
      <c r="E34" s="419"/>
      <c r="F34" s="482">
        <f>SUMIFS($F$104:$F$126,$C$104:$C$126,$C34)</f>
        <v>10809.372100000015</v>
      </c>
      <c r="G34" s="483">
        <f>+[3]Backup!$F$28</f>
        <v>9766.4685000000281</v>
      </c>
      <c r="H34" s="484">
        <f>+'[2]Inst Capacity YoY'!$C$6</f>
        <v>1076.0496000000001</v>
      </c>
      <c r="I34" s="485">
        <f>+'[2]Inst Capacity YoY'!$D$6</f>
        <v>-33.146000000000001</v>
      </c>
      <c r="J34" s="486">
        <f>+'[2]Inst Capacity YoY'!$E$6</f>
        <v>1042.9036000000001</v>
      </c>
      <c r="K34" s="266"/>
      <c r="S34" s="154"/>
      <c r="T34" s="138" t="s">
        <v>21</v>
      </c>
      <c r="U34" s="264">
        <f>+J126</f>
        <v>1648.3712</v>
      </c>
      <c r="V34" s="264">
        <f>+U34/10^3</f>
        <v>1.6483712000000001</v>
      </c>
      <c r="W34" s="143"/>
      <c r="X34" s="375"/>
      <c r="Y34" s="126"/>
      <c r="Z34" s="375"/>
      <c r="AB34" s="122"/>
      <c r="AC34" s="122"/>
      <c r="AD34" s="122"/>
      <c r="AE34" s="122"/>
    </row>
    <row r="35" spans="1:34" ht="18" customHeight="1" x14ac:dyDescent="0.3">
      <c r="A35" s="120">
        <f t="shared" si="0"/>
        <v>30</v>
      </c>
      <c r="C35" s="479" t="str">
        <f>+IF($K$2="EN",Text!$B$40,Text!$C$40)</f>
        <v>South America</v>
      </c>
      <c r="D35" s="419"/>
      <c r="E35" s="419"/>
      <c r="F35" s="482">
        <f>SUMIFS($F$104:$F$126,$C$104:$C$126,$C35)</f>
        <v>1825.8102000000001</v>
      </c>
      <c r="G35" s="483">
        <f>+[3]Backup!$F$33</f>
        <v>1701.9102000000007</v>
      </c>
      <c r="H35" s="484">
        <f>+'[2]Inst Capacity YoY'!$C$7</f>
        <v>123.9</v>
      </c>
      <c r="I35" s="485">
        <f>+'[2]Inst Capacity YoY'!$D$7</f>
        <v>0</v>
      </c>
      <c r="J35" s="486">
        <f>+'[2]Inst Capacity YoY'!$E$7</f>
        <v>123.9</v>
      </c>
      <c r="K35" s="126"/>
      <c r="S35" s="155"/>
      <c r="T35" s="140" t="s">
        <v>15</v>
      </c>
      <c r="U35" s="264">
        <f>+J107+J122</f>
        <v>927.59</v>
      </c>
      <c r="V35" s="264">
        <f>+U35/10^3</f>
        <v>0.92759000000000003</v>
      </c>
      <c r="W35" s="143"/>
      <c r="Y35" s="122"/>
      <c r="Z35" s="122"/>
      <c r="AB35" s="122"/>
      <c r="AC35" s="122"/>
      <c r="AD35" s="122"/>
      <c r="AE35" s="122"/>
    </row>
    <row r="36" spans="1:34" ht="18" customHeight="1" x14ac:dyDescent="0.3">
      <c r="A36" s="120">
        <f t="shared" si="0"/>
        <v>31</v>
      </c>
      <c r="C36" s="479" t="str">
        <f>+IF($K$2="EN",Text!$B$46,Text!$C$46)</f>
        <v>APAC</v>
      </c>
      <c r="D36" s="419"/>
      <c r="E36" s="419"/>
      <c r="F36" s="482">
        <f>SUMIFS($F$104:$F$126,$C$104:$C$126,$C36)</f>
        <v>1151.7403000000002</v>
      </c>
      <c r="G36" s="483">
        <f>+[3]Backup!$F$38</f>
        <v>1032.9588000000003</v>
      </c>
      <c r="H36" s="484">
        <f>+'[2]Inst Capacity YoY'!$C$8</f>
        <v>139.57910000000001</v>
      </c>
      <c r="I36" s="485">
        <f>+'[2]Inst Capacity YoY'!$D$8</f>
        <v>-20.797499999999999</v>
      </c>
      <c r="J36" s="486">
        <f>+'[2]Inst Capacity YoY'!$E$8</f>
        <v>118.78160000000001</v>
      </c>
      <c r="K36" s="126"/>
      <c r="S36" s="155"/>
      <c r="T36" s="140" t="s">
        <v>16</v>
      </c>
      <c r="U36" s="264">
        <f>+J110</f>
        <v>626.71500000000015</v>
      </c>
      <c r="V36" s="264">
        <f>+U36/10^3</f>
        <v>0.62671500000000013</v>
      </c>
      <c r="W36" s="143"/>
      <c r="Y36" s="122"/>
      <c r="Z36" s="122"/>
      <c r="AA36"/>
      <c r="AB36" s="122"/>
      <c r="AC36" s="122"/>
      <c r="AD36" s="122"/>
      <c r="AE36" s="122"/>
    </row>
    <row r="37" spans="1:34" ht="18" customHeight="1" x14ac:dyDescent="0.25">
      <c r="A37" s="120">
        <f t="shared" si="0"/>
        <v>32</v>
      </c>
      <c r="C37" s="480" t="s">
        <v>32</v>
      </c>
      <c r="D37" s="420"/>
      <c r="E37" s="420"/>
      <c r="F37" s="487">
        <f>+SUM(F33:F36)</f>
        <v>20390.958000000017</v>
      </c>
      <c r="G37" s="488">
        <f>+SUM(G33:G36)</f>
        <v>19315.39240000003</v>
      </c>
      <c r="H37" s="489">
        <f>+'[2]Inst Capacity YoY'!$C$9</f>
        <v>1969.3302000000001</v>
      </c>
      <c r="I37" s="489">
        <f>+'[2]Inst Capacity YoY'!$D$9</f>
        <v>-893.76449999999988</v>
      </c>
      <c r="J37" s="490">
        <f>+'[2]Inst Capacity YoY'!$E$9</f>
        <v>1075.5657000000001</v>
      </c>
      <c r="K37" s="466"/>
      <c r="N37" s="571" t="str">
        <f>CONCATENATE(IF($K$2="EN",Charts!E25,Charts!F25)," ",Charts!D24)</f>
        <v>20.4 GW</v>
      </c>
      <c r="O37" s="571"/>
      <c r="P37" s="124"/>
      <c r="S37" s="122"/>
      <c r="T37" s="140" t="s">
        <v>17</v>
      </c>
      <c r="U37" s="264">
        <f>+J113</f>
        <v>60</v>
      </c>
      <c r="V37" s="264">
        <f>+U37/10^3</f>
        <v>0.06</v>
      </c>
      <c r="W37" s="143"/>
      <c r="Y37" s="122"/>
      <c r="Z37" s="122"/>
      <c r="AA37"/>
      <c r="AB37" s="122"/>
      <c r="AC37" s="122"/>
      <c r="AD37" s="122"/>
      <c r="AE37" s="122"/>
    </row>
    <row r="38" spans="1:34" ht="18" customHeight="1" x14ac:dyDescent="0.25">
      <c r="A38" s="120">
        <f t="shared" si="0"/>
        <v>33</v>
      </c>
      <c r="C38" s="421" t="str">
        <f>+IF($K$2="EN",Text!$B$21,Text!$C$21)</f>
        <v>Onshore Wind</v>
      </c>
      <c r="D38" s="422"/>
      <c r="E38" s="422"/>
      <c r="F38" s="371" vm="330">
        <f>+[3]Backup!$J$53</f>
        <v>13134.372000000001</v>
      </c>
      <c r="G38" s="372" vm="294">
        <f>+[3]Backup!$F$53</f>
        <v>12878.589499999998</v>
      </c>
      <c r="H38" s="373">
        <f>+'[2]Inst Capacity YoY'!$C$12</f>
        <v>557.6875</v>
      </c>
      <c r="I38" s="373">
        <f>+'[2]Inst Capacity YoY'!$D$12</f>
        <v>-301.90499999999997</v>
      </c>
      <c r="J38" s="374">
        <f>+'[2]Inst Capacity YoY'!$E$12</f>
        <v>255.78250000000003</v>
      </c>
      <c r="K38" s="126"/>
      <c r="N38" s="571"/>
      <c r="O38" s="571"/>
      <c r="P38" s="124"/>
      <c r="S38" s="122"/>
      <c r="T38" s="140" t="s">
        <v>18</v>
      </c>
      <c r="U38" s="264">
        <f>+J117+J124</f>
        <v>34.066199999999995</v>
      </c>
      <c r="V38" s="264">
        <f>+U38/10^3</f>
        <v>3.4066199999999998E-2</v>
      </c>
      <c r="AA38"/>
      <c r="AB38"/>
      <c r="AC38"/>
      <c r="AD38"/>
      <c r="AE38"/>
      <c r="AF38"/>
    </row>
    <row r="39" spans="1:34" ht="18" customHeight="1" x14ac:dyDescent="0.25">
      <c r="A39" s="120">
        <f t="shared" ref="A39:A96" si="3">A38+1</f>
        <v>34</v>
      </c>
      <c r="C39" s="423" t="str">
        <f>+IF($K$2="EN",Text!$B$24,Text!$C$24)</f>
        <v>Solar Utility Scale</v>
      </c>
      <c r="D39" s="422"/>
      <c r="E39" s="422"/>
      <c r="F39" s="371" vm="78">
        <f>+[3]Backup!$J$54</f>
        <v>4943.4261999999962</v>
      </c>
      <c r="G39" s="372" vm="285">
        <f>+[3]Backup!$F$54</f>
        <v>4671.0056999999997</v>
      </c>
      <c r="H39" s="373">
        <f>+'[2]Inst Capacity YoY'!$C$13</f>
        <v>801.60149999999999</v>
      </c>
      <c r="I39" s="373">
        <f>+'[2]Inst Capacity YoY'!$D$13+W56</f>
        <v>-530.49599999999998</v>
      </c>
      <c r="J39" s="374">
        <f>+'[2]Inst Capacity YoY'!$E$13+W56</f>
        <v>271.10550000000001</v>
      </c>
      <c r="K39" s="251"/>
      <c r="N39" s="571"/>
      <c r="O39" s="571"/>
      <c r="S39" s="269"/>
      <c r="T39" s="138" t="s">
        <v>33</v>
      </c>
      <c r="U39" s="264">
        <f>+U34+G126-U40</f>
        <v>1626.0144</v>
      </c>
      <c r="V39" s="264">
        <f t="shared" ref="V39:V42" si="4">+U39/10^3</f>
        <v>1.6260144000000001</v>
      </c>
      <c r="AA39"/>
      <c r="AB39"/>
      <c r="AC39"/>
      <c r="AD39"/>
      <c r="AE39"/>
      <c r="AF39"/>
    </row>
    <row r="40" spans="1:34" ht="18" customHeight="1" x14ac:dyDescent="0.25">
      <c r="A40" s="120">
        <f t="shared" si="3"/>
        <v>35</v>
      </c>
      <c r="B40" s="156"/>
      <c r="C40" s="421" t="str">
        <f>+IF($K$2="EN",Text!$B$25,Text!$C$25)</f>
        <v>Solar DG</v>
      </c>
      <c r="D40" s="422"/>
      <c r="E40" s="422"/>
      <c r="F40" s="371" vm="325">
        <f>+[3]Backup!$J$55</f>
        <v>1023.3308000000003</v>
      </c>
      <c r="G40" s="372" vm="279">
        <f>+[3]Backup!$F$55</f>
        <v>899.48709999999858</v>
      </c>
      <c r="H40" s="373">
        <f>+'[2]Inst Capacity YoY'!$C$14</f>
        <v>146.02220000000003</v>
      </c>
      <c r="I40" s="373">
        <f>+'[2]Inst Capacity YoY'!$D$14+W57</f>
        <v>-20.863500000000002</v>
      </c>
      <c r="J40" s="374">
        <f>+'[2]Inst Capacity YoY'!$E$14+W57</f>
        <v>125.15870000000002</v>
      </c>
      <c r="K40" s="126"/>
      <c r="T40" s="140" t="s">
        <v>190</v>
      </c>
      <c r="U40" s="349">
        <f>+[3]Backup!$F$340+[3]Backup!$F$381</f>
        <v>1991.6869999999999</v>
      </c>
      <c r="V40" s="264">
        <f t="shared" si="4"/>
        <v>1.991687</v>
      </c>
      <c r="AA40"/>
      <c r="AB40"/>
      <c r="AC40"/>
      <c r="AD40"/>
      <c r="AE40"/>
      <c r="AF40"/>
    </row>
    <row r="41" spans="1:34" ht="18" customHeight="1" x14ac:dyDescent="0.4">
      <c r="A41" s="120">
        <f t="shared" si="3"/>
        <v>36</v>
      </c>
      <c r="B41" s="156"/>
      <c r="C41" s="421" t="str">
        <f>+IF($K$2="EN",Text!$B$26,Text!$C$26)</f>
        <v>BESS</v>
      </c>
      <c r="D41" s="442"/>
      <c r="E41" s="442"/>
      <c r="F41" s="371" vm="119">
        <f>+[3]Backup!$J$56</f>
        <v>550.05499999999995</v>
      </c>
      <c r="G41" s="372" vm="290">
        <f>+[3]Backup!$F$56</f>
        <v>206.536</v>
      </c>
      <c r="H41" s="373">
        <f>+'[2]Inst Capacity YoY'!$C$15</f>
        <v>343.51900000000001</v>
      </c>
      <c r="I41" s="373">
        <f>+'[2]Inst Capacity YoY'!$D$15</f>
        <v>0</v>
      </c>
      <c r="J41" s="374">
        <f>+'[2]Inst Capacity YoY'!$E$15</f>
        <v>343.51900000000001</v>
      </c>
      <c r="K41" s="126"/>
      <c r="U41" s="264"/>
      <c r="V41" s="264"/>
      <c r="AA41"/>
      <c r="AB41"/>
      <c r="AC41"/>
      <c r="AD41"/>
      <c r="AE41"/>
      <c r="AF41"/>
    </row>
    <row r="42" spans="1:34" ht="18" customHeight="1" x14ac:dyDescent="0.4">
      <c r="A42" s="120">
        <f t="shared" si="3"/>
        <v>37</v>
      </c>
      <c r="B42" s="156"/>
      <c r="C42" s="421" t="str">
        <f>+IF($K$2="EN",Text!$B$23,Text!$C$23)</f>
        <v>Offshore Wind</v>
      </c>
      <c r="D42" s="442"/>
      <c r="E42" s="442"/>
      <c r="F42" s="371" vm="326">
        <f>+[3]Backup!$J$57</f>
        <v>739.77390000000003</v>
      </c>
      <c r="G42" s="372" vm="292">
        <f>+[3]Backup!$F$57</f>
        <v>659.77390000000003</v>
      </c>
      <c r="H42" s="373">
        <f>+'[2]Inst Capacity YoY'!$C$16</f>
        <v>120.5</v>
      </c>
      <c r="I42" s="373">
        <f>+'[2]Inst Capacity YoY'!$D$16</f>
        <v>-40.5</v>
      </c>
      <c r="J42" s="374">
        <f>+'[2]Inst Capacity YoY'!$E$16</f>
        <v>80</v>
      </c>
      <c r="K42" s="126"/>
      <c r="T42" s="138" t="s">
        <v>34</v>
      </c>
      <c r="U42" s="264" vm="81">
        <f>+[3]Backup!$J$561</f>
        <v>17761.571016666679</v>
      </c>
      <c r="V42" s="264">
        <f t="shared" si="4"/>
        <v>17.761571016666679</v>
      </c>
      <c r="W42"/>
      <c r="X42"/>
      <c r="Y42" s="252">
        <f>+U42-[3]Backup!$F$561/1000</f>
        <v>17746.051877525013</v>
      </c>
      <c r="Z42" s="252">
        <f>+(U42-[3]Backup!$I$561)/1000</f>
        <v>0.19530543888889224</v>
      </c>
      <c r="AA42"/>
      <c r="AB42"/>
      <c r="AC42"/>
      <c r="AD42"/>
      <c r="AE42"/>
      <c r="AF42"/>
    </row>
    <row r="43" spans="1:34" s="143" customFormat="1" ht="18" customHeight="1" x14ac:dyDescent="0.25">
      <c r="A43" s="120">
        <f t="shared" si="3"/>
        <v>38</v>
      </c>
      <c r="H43" s="321"/>
      <c r="K43" s="126"/>
      <c r="L43" s="121"/>
      <c r="M43" s="121"/>
      <c r="N43" s="121"/>
      <c r="O43" s="121"/>
      <c r="P43" s="121"/>
      <c r="Q43" s="121"/>
      <c r="T43" s="121"/>
      <c r="U43" s="121"/>
      <c r="V43"/>
      <c r="W43"/>
      <c r="X43"/>
      <c r="Y43"/>
      <c r="Z43"/>
      <c r="AA43"/>
      <c r="AB43"/>
      <c r="AC43"/>
      <c r="AD43"/>
      <c r="AE43"/>
      <c r="AF43"/>
      <c r="AG43" s="121"/>
      <c r="AH43" s="121"/>
    </row>
    <row r="44" spans="1:34" s="143" customFormat="1" ht="18" customHeight="1" x14ac:dyDescent="0.25">
      <c r="A44" s="120">
        <f t="shared" si="3"/>
        <v>39</v>
      </c>
      <c r="F44" s="457"/>
      <c r="K44" s="126"/>
      <c r="L44" s="121"/>
      <c r="M44" s="121"/>
      <c r="N44" s="121"/>
      <c r="O44" s="121"/>
      <c r="P44" s="121"/>
      <c r="Q44" s="121"/>
      <c r="T44" s="138" t="str">
        <f>+IF($K$2="EN",Text!$B$21,Text!$C$21)</f>
        <v>Onshore Wind</v>
      </c>
      <c r="U44" s="348">
        <f>+H38</f>
        <v>557.6875</v>
      </c>
      <c r="V44" s="348">
        <f>+H38/10^3</f>
        <v>0.5576875</v>
      </c>
      <c r="W44"/>
      <c r="X44" s="356">
        <f>+U44/$U$16</f>
        <v>0.28318638489370651</v>
      </c>
      <c r="Y44"/>
      <c r="Z44"/>
      <c r="AA44"/>
      <c r="AB44"/>
      <c r="AC44"/>
      <c r="AD44"/>
      <c r="AE44"/>
      <c r="AF44"/>
      <c r="AG44" s="121"/>
      <c r="AH44" s="121"/>
    </row>
    <row r="45" spans="1:34" s="143" customFormat="1" ht="18" customHeight="1" x14ac:dyDescent="0.25">
      <c r="A45" s="120">
        <f t="shared" si="3"/>
        <v>40</v>
      </c>
      <c r="K45" s="126"/>
      <c r="L45" s="121"/>
      <c r="M45" s="121"/>
      <c r="N45" s="121"/>
      <c r="O45" s="121"/>
      <c r="P45" s="121"/>
      <c r="Q45" s="121"/>
      <c r="T45" s="363" t="str">
        <f>+IF($K$2="EN",Text!$B$24,Text!$C$24)</f>
        <v>Solar Utility Scale</v>
      </c>
      <c r="U45" s="348">
        <f>+H39</f>
        <v>801.60149999999999</v>
      </c>
      <c r="V45" s="348">
        <f>+H39/10^3</f>
        <v>0.80160149999999997</v>
      </c>
      <c r="W45"/>
      <c r="X45" s="356">
        <f t="shared" ref="X45:X48" si="5">+U45/$U$16</f>
        <v>0.4070427092419544</v>
      </c>
      <c r="Y45"/>
      <c r="Z45"/>
      <c r="AA45" s="121"/>
      <c r="AB45"/>
      <c r="AC45"/>
      <c r="AD45"/>
      <c r="AE45"/>
      <c r="AF45"/>
      <c r="AG45" s="121"/>
      <c r="AH45" s="121"/>
    </row>
    <row r="46" spans="1:34" s="143" customFormat="1" ht="18" customHeight="1" thickBot="1" x14ac:dyDescent="0.55000000000000004">
      <c r="A46" s="120">
        <f t="shared" si="3"/>
        <v>41</v>
      </c>
      <c r="C46" s="477" t="str">
        <f>+IF($K$2="EN",Text!B9,Text!C9)</f>
        <v>Electricity Generation</v>
      </c>
      <c r="D46" s="145"/>
      <c r="E46" s="145"/>
      <c r="F46" s="145"/>
      <c r="G46" s="145"/>
      <c r="H46" s="145"/>
      <c r="I46" s="572" t="s">
        <v>13</v>
      </c>
      <c r="J46" s="572"/>
      <c r="K46" s="126"/>
      <c r="L46" s="121"/>
      <c r="M46" s="121"/>
      <c r="N46" s="121"/>
      <c r="O46" s="121"/>
      <c r="P46" s="121"/>
      <c r="Q46" s="121"/>
      <c r="T46" s="138" t="str">
        <f>+IF($K$2="EN",Text!$B$25,Text!$C$25)</f>
        <v>Solar DG</v>
      </c>
      <c r="U46" s="348">
        <f>+H40</f>
        <v>146.02220000000003</v>
      </c>
      <c r="V46" s="348">
        <f>+H40/10^3</f>
        <v>0.14602220000000002</v>
      </c>
      <c r="W46"/>
      <c r="X46" s="356">
        <f t="shared" si="5"/>
        <v>7.4148154534978444E-2</v>
      </c>
      <c r="Y46"/>
      <c r="Z46"/>
      <c r="AA46" s="121"/>
      <c r="AB46"/>
      <c r="AC46"/>
      <c r="AD46"/>
      <c r="AE46"/>
      <c r="AF46"/>
      <c r="AG46" s="121"/>
      <c r="AH46" s="121"/>
    </row>
    <row r="47" spans="1:34" s="143" customFormat="1" ht="18" customHeight="1" x14ac:dyDescent="0.25">
      <c r="A47" s="120">
        <f t="shared" si="3"/>
        <v>42</v>
      </c>
      <c r="K47" s="126"/>
      <c r="T47" s="138" t="str">
        <f>+IF($K$2="EN",Text!$B$26,Text!$C$26)</f>
        <v>BESS</v>
      </c>
      <c r="U47" s="348">
        <f>+H41</f>
        <v>343.51900000000001</v>
      </c>
      <c r="V47" s="348">
        <f>+H41/10^3</f>
        <v>0.34351900000000002</v>
      </c>
      <c r="W47"/>
      <c r="X47" s="356">
        <f t="shared" si="5"/>
        <v>0.17443443461132113</v>
      </c>
      <c r="Y47">
        <f>+U47/G41</f>
        <v>1.663240306774606</v>
      </c>
      <c r="Z47"/>
      <c r="AA47" s="121"/>
      <c r="AB47"/>
      <c r="AC47"/>
      <c r="AD47"/>
      <c r="AE47"/>
      <c r="AF47"/>
      <c r="AG47" s="121"/>
      <c r="AH47" s="121"/>
    </row>
    <row r="48" spans="1:34" s="143" customFormat="1" ht="18" customHeight="1" x14ac:dyDescent="0.25">
      <c r="A48" s="120">
        <f t="shared" si="3"/>
        <v>43</v>
      </c>
      <c r="C48" s="474" t="s">
        <v>35</v>
      </c>
      <c r="D48" s="474"/>
      <c r="E48" s="474"/>
      <c r="F48" s="474"/>
      <c r="G48" s="492">
        <f>+Cur_Period</f>
        <v>2025</v>
      </c>
      <c r="H48" s="492">
        <f>+Pre_Period</f>
        <v>2024</v>
      </c>
      <c r="I48" s="492" t="s">
        <v>35</v>
      </c>
      <c r="J48" s="493" t="s">
        <v>12</v>
      </c>
      <c r="K48" s="121"/>
      <c r="L48" s="121"/>
      <c r="M48" s="121"/>
      <c r="N48" s="121"/>
      <c r="O48" s="121"/>
      <c r="P48" s="121"/>
      <c r="Q48" s="121"/>
      <c r="T48" s="138" t="str">
        <f>+IF($K$2="EN",Text!$B$23,Text!$C$23)</f>
        <v>Offshore Wind</v>
      </c>
      <c r="U48" s="348">
        <f>+H42</f>
        <v>120.5</v>
      </c>
      <c r="V48" s="348">
        <f>+H42/10^3</f>
        <v>0.1205</v>
      </c>
      <c r="W48"/>
      <c r="X48" s="356">
        <f t="shared" si="5"/>
        <v>6.1188316718039461E-2</v>
      </c>
      <c r="Y48"/>
      <c r="Z48"/>
      <c r="AA48" s="121"/>
      <c r="AB48"/>
      <c r="AC48"/>
      <c r="AD48"/>
      <c r="AE48"/>
      <c r="AF48"/>
      <c r="AG48" s="121"/>
      <c r="AH48" s="121"/>
    </row>
    <row r="49" spans="1:34" s="143" customFormat="1" ht="18" customHeight="1" x14ac:dyDescent="0.25">
      <c r="A49" s="120">
        <f t="shared" si="3"/>
        <v>44</v>
      </c>
      <c r="C49" s="475" t="str">
        <f>+IF($K$2="EN",Text!$B$21,Text!$C$21)</f>
        <v>Onshore Wind</v>
      </c>
      <c r="D49" s="475"/>
      <c r="E49" s="475"/>
      <c r="F49" s="475"/>
      <c r="G49" s="494">
        <f>+[3]Backup!$J$910</f>
        <v>30806.695566399998</v>
      </c>
      <c r="H49" s="495">
        <f>+[3]Backup!$F$910</f>
        <v>31018.310728700009</v>
      </c>
      <c r="I49" s="496">
        <f>G49-H49</f>
        <v>-211.61516230001143</v>
      </c>
      <c r="J49" s="497">
        <f>+G49/H49-1</f>
        <v>-6.8222658593787289E-3</v>
      </c>
      <c r="K49" s="121"/>
      <c r="T49"/>
      <c r="U49"/>
      <c r="V49"/>
      <c r="W49"/>
      <c r="X49"/>
      <c r="Y49"/>
      <c r="Z49"/>
      <c r="AA49" s="121"/>
      <c r="AB49" s="121"/>
      <c r="AC49" s="121"/>
      <c r="AD49" s="121"/>
      <c r="AE49" s="121"/>
      <c r="AF49" s="121"/>
      <c r="AG49" s="121"/>
      <c r="AH49" s="121"/>
    </row>
    <row r="50" spans="1:34" s="143" customFormat="1" ht="18" customHeight="1" thickBot="1" x14ac:dyDescent="0.55000000000000004">
      <c r="A50" s="120">
        <f t="shared" si="3"/>
        <v>45</v>
      </c>
      <c r="C50" s="428" t="str">
        <f>+IF($K$2="EN",Text!$B$28,Text!$C$28)</f>
        <v>Spain</v>
      </c>
      <c r="D50" s="442"/>
      <c r="E50" s="442"/>
      <c r="F50" s="442"/>
      <c r="G50" s="382">
        <f>+[3]Backup!$J$913</f>
        <v>4070.2593099999995</v>
      </c>
      <c r="H50" s="399">
        <f>+[3]Backup!$F$913</f>
        <v>4203.4434000000001</v>
      </c>
      <c r="I50" s="403">
        <f t="shared" ref="I50:I52" si="6">G50-H50</f>
        <v>-133.18409000000065</v>
      </c>
      <c r="J50" s="401">
        <f t="shared" ref="J50:J52" si="7">+G50/H50-1</f>
        <v>-3.1684520838320518E-2</v>
      </c>
      <c r="K50" s="121"/>
      <c r="L50" s="491" t="str">
        <f>+IF($K$2="EN",Text!$B$10,Text!$C$10)</f>
        <v>Generation by Region and Technology</v>
      </c>
      <c r="M50" s="345"/>
      <c r="N50" s="345"/>
      <c r="O50" s="345"/>
      <c r="P50" s="345"/>
      <c r="Q50" s="345"/>
      <c r="T50" t="s">
        <v>36</v>
      </c>
      <c r="U50"/>
      <c r="V50" s="356">
        <f>+SUM(H39:H40)/H37</f>
        <v>0.48119086377693288</v>
      </c>
      <c r="W50"/>
      <c r="X50" s="348"/>
      <c r="Y50"/>
      <c r="Z50"/>
      <c r="AA50" s="121"/>
      <c r="AB50" s="121"/>
      <c r="AC50" s="121"/>
      <c r="AD50" s="121"/>
      <c r="AE50" s="121"/>
      <c r="AF50" s="121"/>
      <c r="AG50" s="121"/>
      <c r="AH50" s="121"/>
    </row>
    <row r="51" spans="1:34" s="143" customFormat="1" ht="18" customHeight="1" x14ac:dyDescent="0.4">
      <c r="A51" s="120">
        <f t="shared" si="3"/>
        <v>46</v>
      </c>
      <c r="C51" s="428" t="str">
        <f>+IF($K$2="EN",Text!$B$29,Text!$C$29)</f>
        <v>Portugal</v>
      </c>
      <c r="D51" s="442"/>
      <c r="E51" s="442"/>
      <c r="F51" s="442"/>
      <c r="G51" s="382">
        <f>+[3]Backup!$J$914</f>
        <v>2791.6652400000007</v>
      </c>
      <c r="H51" s="399">
        <f>+[3]Backup!$F$914</f>
        <v>2924.0419999999999</v>
      </c>
      <c r="I51" s="403">
        <f t="shared" si="6"/>
        <v>-132.37675999999919</v>
      </c>
      <c r="J51" s="401">
        <f t="shared" si="7"/>
        <v>-4.5271839460581997E-2</v>
      </c>
      <c r="K51" s="121"/>
      <c r="L51" s="121"/>
      <c r="M51" s="121"/>
      <c r="N51" s="121"/>
      <c r="O51" s="121"/>
      <c r="P51" s="121"/>
      <c r="Q51" s="121"/>
      <c r="T51" t="s">
        <v>37</v>
      </c>
      <c r="U51"/>
      <c r="V51" s="356">
        <f>+SUM(H39:H41)/H37</f>
        <v>0.6556252983882539</v>
      </c>
      <c r="W51"/>
      <c r="X51"/>
      <c r="AB51" s="121"/>
      <c r="AC51" s="121"/>
      <c r="AD51" s="121"/>
      <c r="AE51" s="121"/>
      <c r="AF51" s="121"/>
      <c r="AG51" s="121"/>
      <c r="AH51" s="121"/>
    </row>
    <row r="52" spans="1:34" s="143" customFormat="1" ht="18" customHeight="1" x14ac:dyDescent="0.4">
      <c r="A52" s="120">
        <f t="shared" si="3"/>
        <v>47</v>
      </c>
      <c r="C52" s="428" t="str">
        <f>+IF($K$2="EN",Text!$B$30,Text!$C$30)</f>
        <v>Rest of Europe</v>
      </c>
      <c r="D52" s="442"/>
      <c r="E52" s="442"/>
      <c r="F52" s="442"/>
      <c r="G52" s="382">
        <f>+[3]Backup!$J$915</f>
        <v>3386.4939499999996</v>
      </c>
      <c r="H52" s="399">
        <f>+[3]Backup!$F$915</f>
        <v>3668.6598800000002</v>
      </c>
      <c r="I52" s="403">
        <f t="shared" si="6"/>
        <v>-282.16593000000057</v>
      </c>
      <c r="J52" s="401">
        <f t="shared" si="7"/>
        <v>-7.6912534611957684E-2</v>
      </c>
      <c r="K52" s="121"/>
      <c r="L52" s="121"/>
      <c r="M52" s="121"/>
      <c r="N52" s="121"/>
      <c r="O52" s="121"/>
      <c r="P52" s="121"/>
      <c r="Q52" s="121"/>
      <c r="AB52" s="121"/>
      <c r="AC52" s="121"/>
      <c r="AD52" s="121"/>
      <c r="AE52" s="121"/>
      <c r="AF52" s="121"/>
      <c r="AG52" s="121"/>
      <c r="AH52" s="121"/>
    </row>
    <row r="53" spans="1:34" s="143" customFormat="1" ht="18" customHeight="1" x14ac:dyDescent="0.35">
      <c r="A53" s="120">
        <f t="shared" si="3"/>
        <v>48</v>
      </c>
      <c r="C53" s="421" t="str">
        <f>+IF($K$2="EN",Text!$B$27,Text!$C$27)</f>
        <v>Europe</v>
      </c>
      <c r="D53" s="422"/>
      <c r="E53" s="422"/>
      <c r="F53" s="422"/>
      <c r="G53" s="382">
        <f>+[3]Backup!$J$912</f>
        <v>10248.418500000002</v>
      </c>
      <c r="H53" s="399">
        <f>+[3]Backup!$F$912</f>
        <v>10796.145280000002</v>
      </c>
      <c r="I53" s="403">
        <f>G53-H53</f>
        <v>-547.72678000000087</v>
      </c>
      <c r="J53" s="401">
        <f>+G53/H53-1</f>
        <v>-5.0733550336217847E-2</v>
      </c>
      <c r="K53" s="121"/>
      <c r="L53" s="121"/>
      <c r="M53" s="121"/>
      <c r="N53" s="121"/>
      <c r="O53" s="121"/>
      <c r="P53" s="121"/>
      <c r="Q53" s="121"/>
      <c r="T53" s="391"/>
      <c r="U53" s="557"/>
      <c r="V53" s="557"/>
      <c r="W53" s="557"/>
      <c r="AB53" s="121"/>
      <c r="AC53" s="121"/>
      <c r="AD53" s="121"/>
      <c r="AE53" s="121"/>
      <c r="AF53" s="121"/>
      <c r="AG53" s="121"/>
      <c r="AH53" s="121"/>
    </row>
    <row r="54" spans="1:34" s="143" customFormat="1" ht="18" customHeight="1" x14ac:dyDescent="0.35">
      <c r="A54" s="120">
        <f t="shared" si="3"/>
        <v>49</v>
      </c>
      <c r="C54" s="421" t="str">
        <f>+IF($K$2="EN",Text!$B$34,Text!$C$34)</f>
        <v>North America</v>
      </c>
      <c r="D54" s="422"/>
      <c r="E54" s="422"/>
      <c r="F54" s="422"/>
      <c r="G54" s="382">
        <f>+[3]Backup!$J$927</f>
        <v>17535.976758500001</v>
      </c>
      <c r="H54" s="399">
        <f>+[3]Backup!$F$927</f>
        <v>17582.420888700002</v>
      </c>
      <c r="I54" s="400">
        <f>G54-H54</f>
        <v>-46.444130200001382</v>
      </c>
      <c r="J54" s="461">
        <f>+G54/H54-1</f>
        <v>-2.6415094084029089E-3</v>
      </c>
      <c r="K54" s="251"/>
      <c r="L54" s="121"/>
      <c r="P54" s="121"/>
      <c r="Q54" s="121"/>
      <c r="T54" s="458" t="s">
        <v>38</v>
      </c>
      <c r="U54" s="392">
        <f>+F37</f>
        <v>20390.958000000017</v>
      </c>
      <c r="V54" s="392">
        <f>+G37</f>
        <v>19315.39240000003</v>
      </c>
      <c r="W54" s="392"/>
      <c r="X54" s="321">
        <f>+U54/V54-1</f>
        <v>5.5684377398410367E-2</v>
      </c>
      <c r="AB54" s="121"/>
      <c r="AC54" s="121"/>
      <c r="AD54" s="121"/>
      <c r="AE54" s="121"/>
      <c r="AF54" s="121"/>
      <c r="AG54" s="121"/>
      <c r="AH54" s="121"/>
    </row>
    <row r="55" spans="1:34" s="143" customFormat="1" ht="18" customHeight="1" x14ac:dyDescent="0.35">
      <c r="A55" s="120">
        <f t="shared" si="3"/>
        <v>50</v>
      </c>
      <c r="C55" s="421" t="str">
        <f>+IF($K$2="EN",Text!$B$40,Text!$C$40)</f>
        <v>South America</v>
      </c>
      <c r="D55" s="427"/>
      <c r="E55" s="427"/>
      <c r="F55" s="427"/>
      <c r="G55" s="382">
        <f>+[3]Backup!$J$932</f>
        <v>3022.3003079</v>
      </c>
      <c r="H55" s="402">
        <f>+[3]Backup!$F$932</f>
        <v>2639.7445600000001</v>
      </c>
      <c r="I55" s="400">
        <f>G55-H55</f>
        <v>382.55574789999991</v>
      </c>
      <c r="J55" s="401">
        <f>+G55/H55-1</f>
        <v>0.14492150251841029</v>
      </c>
      <c r="K55" s="126"/>
      <c r="L55" s="121"/>
      <c r="N55" s="341"/>
      <c r="P55" s="121"/>
      <c r="Q55" s="121"/>
      <c r="T55" s="459" t="s" vm="21">
        <v>39</v>
      </c>
      <c r="U55" s="392" vm="330">
        <f t="shared" ref="U55:V59" si="8">+F38</f>
        <v>13134.372000000001</v>
      </c>
      <c r="V55" s="392" vm="294">
        <f t="shared" si="8"/>
        <v>12878.589499999998</v>
      </c>
      <c r="W55" s="392"/>
      <c r="X55" s="292">
        <f>+U55/U$54</f>
        <v>0.64412726464347536</v>
      </c>
      <c r="Y55" s="561">
        <f t="shared" ref="Y55:Y57" si="9">+X55-(V55/V$54)</f>
        <v>-2.2625407696744815E-2</v>
      </c>
      <c r="Z55" s="121"/>
      <c r="AA55" s="121"/>
      <c r="AB55" s="121"/>
      <c r="AC55" s="121"/>
      <c r="AD55" s="121"/>
      <c r="AE55" s="121"/>
      <c r="AF55" s="121"/>
      <c r="AG55" s="121"/>
      <c r="AH55" s="121"/>
    </row>
    <row r="56" spans="1:34" s="143" customFormat="1" ht="18" customHeight="1" x14ac:dyDescent="0.35">
      <c r="A56" s="120">
        <f t="shared" si="3"/>
        <v>51</v>
      </c>
      <c r="C56" s="475" t="str">
        <f>+IF($K$2="EN",Text!$B$24,Text!$C$24)</f>
        <v>Solar Utility Scale</v>
      </c>
      <c r="D56" s="475"/>
      <c r="E56" s="475"/>
      <c r="F56" s="475"/>
      <c r="G56" s="494">
        <f>+[3]Backup!$J$951</f>
        <v>8663.7891256999992</v>
      </c>
      <c r="H56" s="498">
        <f>+[3]Backup!$F$951</f>
        <v>4566.4693505000005</v>
      </c>
      <c r="I56" s="499">
        <f>G56-H56</f>
        <v>4097.3197751999987</v>
      </c>
      <c r="J56" s="497">
        <f>+G56/H56-1</f>
        <v>0.89726207726574736</v>
      </c>
      <c r="K56" s="126"/>
      <c r="O56" s="124"/>
      <c r="P56" s="121"/>
      <c r="Q56" s="121"/>
      <c r="T56" s="459" t="s" vm="22">
        <v>23</v>
      </c>
      <c r="U56" s="392" vm="78">
        <f t="shared" si="8"/>
        <v>4943.4261999999962</v>
      </c>
      <c r="V56" s="392" vm="285">
        <f t="shared" si="8"/>
        <v>4671.0056999999997</v>
      </c>
      <c r="W56" s="392"/>
      <c r="X56" s="292">
        <f t="shared" ref="X56:X59" si="10">+U56/U$54</f>
        <v>0.24243226826321707</v>
      </c>
      <c r="Y56" s="561">
        <f t="shared" si="9"/>
        <v>6.0411363561588272E-4</v>
      </c>
      <c r="Z56" s="121"/>
      <c r="AA56" s="121"/>
      <c r="AB56" s="121"/>
    </row>
    <row r="57" spans="1:34" s="143" customFormat="1" ht="18" customHeight="1" x14ac:dyDescent="0.35">
      <c r="A57" s="120">
        <f t="shared" si="3"/>
        <v>52</v>
      </c>
      <c r="C57" s="421" t="str">
        <f>+IF($K$2="EN",Text!$B$27,Text!$C$27)</f>
        <v>Europe</v>
      </c>
      <c r="D57" s="419"/>
      <c r="E57" s="419"/>
      <c r="F57" s="419"/>
      <c r="G57" s="382">
        <f>+[3]Backup!$J$953</f>
        <v>1297.0360175000001</v>
      </c>
      <c r="H57" s="402">
        <f>+[3]Backup!$F$953</f>
        <v>748.5575461000002</v>
      </c>
      <c r="I57" s="400">
        <f t="shared" ref="I57:I68" si="11">G57-H57</f>
        <v>548.47847139999988</v>
      </c>
      <c r="J57" s="401">
        <f t="shared" ref="J57:J68" si="12">+G57/H57-1</f>
        <v>0.73271383644127797</v>
      </c>
      <c r="K57" s="126"/>
      <c r="M57" s="124"/>
      <c r="N57" s="571" t="str">
        <f>CONCATENATE(IF($K$2="EN",Charts!E41,Charts!F41)&amp;" TWh")</f>
        <v>40.6 TWh</v>
      </c>
      <c r="O57" s="571"/>
      <c r="P57" s="124"/>
      <c r="T57" s="459" t="s" vm="23">
        <v>24</v>
      </c>
      <c r="U57" s="392" vm="325">
        <f t="shared" si="8"/>
        <v>1023.3308000000003</v>
      </c>
      <c r="V57" s="392" vm="279">
        <f t="shared" si="8"/>
        <v>899.48709999999858</v>
      </c>
      <c r="W57" s="392"/>
      <c r="X57" s="292">
        <f t="shared" si="10"/>
        <v>5.0185518502857955E-2</v>
      </c>
      <c r="Y57" s="561">
        <f t="shared" si="9"/>
        <v>3.6171091548813025E-3</v>
      </c>
      <c r="Z57" s="121"/>
      <c r="AA57" s="121"/>
      <c r="AB57" s="121"/>
    </row>
    <row r="58" spans="1:34" s="143" customFormat="1" ht="18" customHeight="1" x14ac:dyDescent="0.35">
      <c r="A58" s="120">
        <f t="shared" si="3"/>
        <v>53</v>
      </c>
      <c r="C58" s="421" t="str">
        <f>+IF($K$2="EN",Text!$B$34,Text!$C$34)</f>
        <v>North America</v>
      </c>
      <c r="D58" s="429"/>
      <c r="E58" s="429"/>
      <c r="F58" s="429"/>
      <c r="G58" s="382">
        <f>+[3]Backup!$J$968</f>
        <v>5507.7743482000005</v>
      </c>
      <c r="H58" s="402">
        <f>+[3]Backup!$F$968</f>
        <v>2294.5328944000003</v>
      </c>
      <c r="I58" s="400">
        <f t="shared" si="11"/>
        <v>3213.2414538000003</v>
      </c>
      <c r="J58" s="401">
        <f t="shared" si="12"/>
        <v>1.4003902326448165</v>
      </c>
      <c r="K58" s="126"/>
      <c r="N58" s="571"/>
      <c r="O58" s="571"/>
      <c r="P58" s="124"/>
      <c r="T58" s="459" t="s" vm="24">
        <v>25</v>
      </c>
      <c r="U58" s="392" vm="119">
        <f t="shared" si="8"/>
        <v>550.05499999999995</v>
      </c>
      <c r="V58" s="392" vm="290">
        <f t="shared" si="8"/>
        <v>206.536</v>
      </c>
      <c r="W58" s="392"/>
      <c r="X58" s="292">
        <f t="shared" si="10"/>
        <v>2.6975436857846476E-2</v>
      </c>
      <c r="Y58" s="561">
        <f>+X58-(V58/V$54)</f>
        <v>1.6282617591073533E-2</v>
      </c>
      <c r="Z58" s="121"/>
      <c r="AA58" s="121"/>
      <c r="AB58" s="121"/>
    </row>
    <row r="59" spans="1:34" s="143" customFormat="1" ht="18" customHeight="1" x14ac:dyDescent="0.35">
      <c r="A59" s="120">
        <f t="shared" si="3"/>
        <v>54</v>
      </c>
      <c r="C59" s="421" t="str">
        <f>+IF($K$2="EN",Text!$B$40,Text!$C$40)</f>
        <v>South America</v>
      </c>
      <c r="D59" s="427"/>
      <c r="E59" s="427"/>
      <c r="F59" s="427"/>
      <c r="G59" s="382">
        <f>+[3]Backup!$J$973</f>
        <v>1162.0639900000001</v>
      </c>
      <c r="H59" s="402">
        <f>+[3]Backup!$F$973</f>
        <v>801.24063000000012</v>
      </c>
      <c r="I59" s="400">
        <f t="shared" si="11"/>
        <v>360.82335999999998</v>
      </c>
      <c r="J59" s="401">
        <f t="shared" si="12"/>
        <v>0.45033083257397966</v>
      </c>
      <c r="K59" s="126"/>
      <c r="M59" s="121"/>
      <c r="N59" s="571"/>
      <c r="O59" s="571"/>
      <c r="P59" s="121"/>
      <c r="Q59" s="121"/>
      <c r="S59" s="267"/>
      <c r="T59" s="459" t="s" vm="25">
        <v>40</v>
      </c>
      <c r="U59" s="392" vm="326">
        <f t="shared" si="8"/>
        <v>739.77390000000003</v>
      </c>
      <c r="V59" s="392" vm="292">
        <f t="shared" si="8"/>
        <v>659.77390000000003</v>
      </c>
      <c r="W59" s="392"/>
      <c r="X59" s="292">
        <f t="shared" si="10"/>
        <v>3.6279506828467763E-2</v>
      </c>
      <c r="Y59" s="561">
        <f t="shared" ref="Y59" si="13">+X59-(V59/V$54)</f>
        <v>2.1215727654766842E-3</v>
      </c>
      <c r="AB59" s="121"/>
    </row>
    <row r="60" spans="1:34" s="143" customFormat="1" ht="18" customHeight="1" x14ac:dyDescent="0.4">
      <c r="A60" s="120">
        <f t="shared" si="3"/>
        <v>55</v>
      </c>
      <c r="C60" s="421" t="str">
        <f>+IF($K$2="EN",Text!$B$46,Text!$C$46)</f>
        <v>APAC</v>
      </c>
      <c r="D60" s="442"/>
      <c r="E60" s="442"/>
      <c r="F60" s="442"/>
      <c r="G60" s="382">
        <f>+[3]Backup!$J$978</f>
        <v>696.91476999999998</v>
      </c>
      <c r="H60" s="402">
        <f>+[3]Backup!$F$978</f>
        <v>722.13828000000001</v>
      </c>
      <c r="I60" s="403">
        <f t="shared" si="11"/>
        <v>-25.223510000000033</v>
      </c>
      <c r="J60" s="401">
        <f t="shared" si="12"/>
        <v>-3.4928919707732486E-2</v>
      </c>
      <c r="K60" s="126"/>
      <c r="M60" s="121"/>
      <c r="N60" s="124"/>
      <c r="O60" s="124"/>
      <c r="P60" s="121"/>
      <c r="Q60" s="121"/>
    </row>
    <row r="61" spans="1:34" s="143" customFormat="1" ht="18" customHeight="1" x14ac:dyDescent="0.4">
      <c r="A61" s="120">
        <f t="shared" si="3"/>
        <v>56</v>
      </c>
      <c r="C61" s="475" t="str">
        <f>+IF($K$2="EN",Text!$B$25,Text!$C$25)</f>
        <v>Solar DG</v>
      </c>
      <c r="D61" s="476"/>
      <c r="E61" s="476"/>
      <c r="F61" s="476"/>
      <c r="G61" s="494">
        <f>+[3]Backup!$J$992</f>
        <v>1133.2889373999999</v>
      </c>
      <c r="H61" s="498">
        <f>+[3]Backup!$F$992</f>
        <v>966.69693340000026</v>
      </c>
      <c r="I61" s="499">
        <f t="shared" si="11"/>
        <v>166.59200399999963</v>
      </c>
      <c r="J61" s="497">
        <f t="shared" si="12"/>
        <v>0.17233116010213623</v>
      </c>
      <c r="K61" s="126"/>
      <c r="M61" s="121"/>
      <c r="N61" s="121"/>
      <c r="O61" s="121"/>
      <c r="P61" s="121"/>
      <c r="Q61" s="121"/>
    </row>
    <row r="62" spans="1:34" s="143" customFormat="1" ht="18" customHeight="1" x14ac:dyDescent="0.4">
      <c r="A62" s="120">
        <f t="shared" si="3"/>
        <v>57</v>
      </c>
      <c r="C62" s="423" t="str">
        <f>+IF($K$2="EN",Text!$B$34,Text!$C$34)</f>
        <v>North America</v>
      </c>
      <c r="D62" s="442"/>
      <c r="E62" s="442"/>
      <c r="F62" s="442"/>
      <c r="G62" s="382">
        <f>+[3]Backup!$J$1009</f>
        <v>303.01327739999994</v>
      </c>
      <c r="H62" s="402">
        <f>+[3]Backup!$F$1009</f>
        <v>292.71922339999992</v>
      </c>
      <c r="I62" s="403">
        <f t="shared" si="11"/>
        <v>10.294054000000017</v>
      </c>
      <c r="J62" s="401">
        <f t="shared" si="12"/>
        <v>3.5166989992772679E-2</v>
      </c>
      <c r="K62" s="126"/>
      <c r="L62" s="121"/>
      <c r="M62" s="121"/>
      <c r="N62" s="121"/>
      <c r="O62" s="121"/>
      <c r="P62" s="121"/>
      <c r="Q62" s="121"/>
      <c r="T62" s="469" t="s">
        <v>191</v>
      </c>
      <c r="U62" s="468">
        <f>+G56/H56</f>
        <v>1.8972620772657474</v>
      </c>
      <c r="V62"/>
      <c r="W62"/>
      <c r="X62"/>
      <c r="Y62"/>
    </row>
    <row r="63" spans="1:34" s="143" customFormat="1" ht="18" customHeight="1" x14ac:dyDescent="0.35">
      <c r="A63" s="120">
        <f t="shared" si="3"/>
        <v>58</v>
      </c>
      <c r="C63" s="393" t="str">
        <f>+IF($K$2="EN",Text!$B$46,Text!$C$46)</f>
        <v>APAC</v>
      </c>
      <c r="D63" s="443"/>
      <c r="E63" s="443"/>
      <c r="F63" s="443"/>
      <c r="G63" s="383">
        <f>+[3]Backup!$J$1019</f>
        <v>830.27565999999968</v>
      </c>
      <c r="H63" s="430">
        <f>+[3]Backup!$F$1019</f>
        <v>673.97771</v>
      </c>
      <c r="I63" s="431">
        <f t="shared" si="11"/>
        <v>156.29794999999967</v>
      </c>
      <c r="J63" s="432">
        <f t="shared" si="12"/>
        <v>0.23190373758799776</v>
      </c>
      <c r="K63" s="126"/>
      <c r="L63" s="121"/>
      <c r="M63" s="121"/>
      <c r="N63" s="121"/>
      <c r="O63" s="121"/>
      <c r="P63" s="121"/>
      <c r="Q63" s="121"/>
      <c r="T63" s="469" t="s">
        <v>201</v>
      </c>
      <c r="U63" s="559">
        <f>+(G56+G61)/(H56+H61)</f>
        <v>1.7706097305636403</v>
      </c>
      <c r="V63"/>
      <c r="W63"/>
      <c r="X63"/>
      <c r="Y63" s="292">
        <f>+(G56+G61)/(H56+H61)-1</f>
        <v>0.77060973056364035</v>
      </c>
    </row>
    <row r="64" spans="1:34" s="143" customFormat="1" ht="18" customHeight="1" x14ac:dyDescent="0.25">
      <c r="A64" s="120">
        <f t="shared" si="3"/>
        <v>59</v>
      </c>
      <c r="C64" s="478" t="str">
        <f>C37</f>
        <v>EDPR</v>
      </c>
      <c r="D64" s="478"/>
      <c r="E64" s="478"/>
      <c r="F64" s="478"/>
      <c r="G64" s="500">
        <f>+[3]Backup!$J$903</f>
        <v>40603.7736295</v>
      </c>
      <c r="H64" s="501">
        <f>+[3]Backup!$F$903</f>
        <v>36551.4770126</v>
      </c>
      <c r="I64" s="502">
        <f t="shared" si="11"/>
        <v>4052.2966168999992</v>
      </c>
      <c r="J64" s="503">
        <f t="shared" si="12"/>
        <v>0.11086546832301991</v>
      </c>
      <c r="K64" s="126"/>
      <c r="L64" s="121"/>
      <c r="M64" s="121"/>
      <c r="N64" s="121"/>
      <c r="O64" s="121"/>
      <c r="P64" s="121"/>
      <c r="Q64" s="121"/>
      <c r="V64"/>
      <c r="W64"/>
      <c r="X64"/>
      <c r="Y64"/>
    </row>
    <row r="65" spans="1:30" s="143" customFormat="1" ht="18" customHeight="1" x14ac:dyDescent="0.25">
      <c r="A65" s="120">
        <f t="shared" si="3"/>
        <v>60</v>
      </c>
      <c r="C65" s="421" t="str">
        <f>+IF($K$2="EN",Text!$B$27,Text!$C$27)</f>
        <v>Europe</v>
      </c>
      <c r="D65" s="422"/>
      <c r="E65" s="436"/>
      <c r="F65" s="436"/>
      <c r="G65" s="382">
        <f>+[3]Backup!$J$859</f>
        <v>11545.454517500002</v>
      </c>
      <c r="H65" s="399">
        <f>+[3]Backup!$F$859</f>
        <v>11544.7028261</v>
      </c>
      <c r="I65" s="400">
        <f t="shared" si="11"/>
        <v>0.7516914000025281</v>
      </c>
      <c r="J65" s="462">
        <f t="shared" si="12"/>
        <v>6.5111368505954559E-5</v>
      </c>
      <c r="K65" s="126"/>
      <c r="L65" s="121"/>
      <c r="M65" s="121"/>
      <c r="N65" s="121"/>
      <c r="O65" s="121"/>
      <c r="P65" s="121"/>
      <c r="Q65" s="121"/>
      <c r="T65" s="463"/>
      <c r="V65"/>
      <c r="W65"/>
      <c r="X65"/>
      <c r="Y65"/>
    </row>
    <row r="66" spans="1:30" s="143" customFormat="1" ht="18" customHeight="1" x14ac:dyDescent="0.4">
      <c r="A66" s="120">
        <f t="shared" si="3"/>
        <v>61</v>
      </c>
      <c r="C66" s="421" t="str">
        <f>+IF($K$2="EN",Text!$B$34,Text!$C$34)</f>
        <v>North America</v>
      </c>
      <c r="D66" s="422"/>
      <c r="E66" s="442"/>
      <c r="F66" s="442"/>
      <c r="G66" s="382">
        <f>+[3]Backup!$J$879</f>
        <v>23346.764384100003</v>
      </c>
      <c r="H66" s="399">
        <f>+[3]Backup!$F$879</f>
        <v>20169.673006500001</v>
      </c>
      <c r="I66" s="400">
        <f t="shared" si="11"/>
        <v>3177.0913776000016</v>
      </c>
      <c r="J66" s="401">
        <f t="shared" si="12"/>
        <v>0.15751823921865937</v>
      </c>
      <c r="K66" s="126"/>
      <c r="V66"/>
      <c r="W66"/>
      <c r="X66"/>
      <c r="Y66"/>
    </row>
    <row r="67" spans="1:30" s="143" customFormat="1" ht="18" customHeight="1" x14ac:dyDescent="0.4">
      <c r="A67" s="120">
        <f t="shared" si="3"/>
        <v>62</v>
      </c>
      <c r="C67" s="421" t="str">
        <f>+IF($K$2="EN",Text!$B$40,Text!$C$40)</f>
        <v>South America</v>
      </c>
      <c r="D67" s="422"/>
      <c r="E67" s="442"/>
      <c r="F67" s="442"/>
      <c r="G67" s="382">
        <f>+[3]Backup!$J$884</f>
        <v>4184.3642978999997</v>
      </c>
      <c r="H67" s="399">
        <f>+[3]Backup!$F$884</f>
        <v>3440.9851900000008</v>
      </c>
      <c r="I67" s="400">
        <f t="shared" si="11"/>
        <v>743.37910789999887</v>
      </c>
      <c r="J67" s="401">
        <f t="shared" si="12"/>
        <v>0.21603670659797247</v>
      </c>
      <c r="K67" s="126"/>
      <c r="V67"/>
      <c r="W67"/>
      <c r="X67"/>
      <c r="Y67"/>
      <c r="AB67" s="122"/>
      <c r="AC67" s="122"/>
      <c r="AD67" s="122"/>
    </row>
    <row r="68" spans="1:30" s="143" customFormat="1" ht="18" customHeight="1" x14ac:dyDescent="0.4">
      <c r="A68" s="120">
        <f t="shared" si="3"/>
        <v>63</v>
      </c>
      <c r="C68" s="421" t="str">
        <f>+IF($K$2="EN",Text!$B$46,Text!$C$46)</f>
        <v>APAC</v>
      </c>
      <c r="D68" s="419"/>
      <c r="E68" s="442"/>
      <c r="F68" s="442"/>
      <c r="G68" s="382">
        <f>+[3]Backup!$J$889</f>
        <v>1527.1904300000006</v>
      </c>
      <c r="H68" s="402">
        <f>+[3]Backup!$F$889</f>
        <v>1396.1159899999996</v>
      </c>
      <c r="I68" s="403">
        <f t="shared" si="11"/>
        <v>131.074440000001</v>
      </c>
      <c r="J68" s="401">
        <f t="shared" si="12"/>
        <v>9.3885064664291251E-2</v>
      </c>
      <c r="K68" s="126"/>
      <c r="V68"/>
      <c r="W68"/>
      <c r="X68"/>
      <c r="Y68"/>
      <c r="AB68" s="122"/>
      <c r="AC68" s="122"/>
      <c r="AD68" s="122"/>
    </row>
    <row r="69" spans="1:30" ht="18" customHeight="1" x14ac:dyDescent="0.25">
      <c r="A69" s="120">
        <f t="shared" si="3"/>
        <v>64</v>
      </c>
      <c r="B69" s="156"/>
      <c r="K69" s="126"/>
      <c r="R69" s="143"/>
      <c r="T69" s="143"/>
      <c r="U69" s="143"/>
      <c r="V69"/>
      <c r="W69"/>
      <c r="X69"/>
      <c r="Y69"/>
      <c r="AB69" s="122"/>
      <c r="AC69" s="122"/>
      <c r="AD69" s="122"/>
    </row>
    <row r="70" spans="1:30" ht="18" customHeight="1" x14ac:dyDescent="0.25">
      <c r="A70" s="120">
        <f t="shared" si="3"/>
        <v>65</v>
      </c>
      <c r="B70" s="156"/>
      <c r="K70" s="126"/>
      <c r="R70" s="143"/>
      <c r="T70" s="396"/>
      <c r="U70"/>
      <c r="V70"/>
      <c r="W70"/>
      <c r="X70"/>
      <c r="Y70"/>
      <c r="AB70" s="122"/>
      <c r="AC70" s="122"/>
      <c r="AD70" s="122"/>
    </row>
    <row r="71" spans="1:30" ht="18" customHeight="1" x14ac:dyDescent="0.25">
      <c r="A71" s="120">
        <f t="shared" si="3"/>
        <v>66</v>
      </c>
      <c r="B71" s="156"/>
      <c r="R71" s="143"/>
      <c r="V71"/>
      <c r="W71"/>
      <c r="X71"/>
      <c r="Y71"/>
      <c r="AB71" s="122"/>
      <c r="AC71" s="122"/>
      <c r="AD71" s="122"/>
    </row>
    <row r="72" spans="1:30" ht="18" customHeight="1" thickBot="1" x14ac:dyDescent="0.55000000000000004">
      <c r="A72" s="120">
        <f t="shared" si="3"/>
        <v>67</v>
      </c>
      <c r="B72" s="156"/>
      <c r="C72" s="477" t="str">
        <f>+IF($K$2="EN",Text!$B$11,Text!$C$11)</f>
        <v>Load Factor</v>
      </c>
      <c r="D72" s="145"/>
      <c r="E72" s="145"/>
      <c r="F72" s="145"/>
      <c r="G72" s="145"/>
      <c r="H72" s="145"/>
      <c r="I72" s="145"/>
      <c r="J72" s="145"/>
      <c r="L72" s="578" t="str">
        <f>C74</f>
        <v>NCF (%)</v>
      </c>
      <c r="M72" s="578"/>
      <c r="N72" s="579"/>
      <c r="O72" s="580" t="str">
        <f>+IF($K$2="EN",Text!$B$12,Text!$C$12)</f>
        <v>vs. P50 GCF (%)</v>
      </c>
      <c r="P72" s="581"/>
      <c r="Q72" s="581"/>
      <c r="R72" s="143"/>
      <c r="T72" s="397"/>
      <c r="V72"/>
      <c r="W72"/>
      <c r="X72"/>
      <c r="Y72"/>
      <c r="AB72" s="122"/>
      <c r="AC72" s="122"/>
      <c r="AD72" s="122"/>
    </row>
    <row r="73" spans="1:30" ht="18" customHeight="1" x14ac:dyDescent="0.25">
      <c r="A73" s="120">
        <f t="shared" si="3"/>
        <v>68</v>
      </c>
      <c r="B73" s="156"/>
      <c r="C73" s="143"/>
      <c r="D73" s="143"/>
      <c r="E73" s="143"/>
      <c r="F73" s="143"/>
      <c r="G73" s="143"/>
      <c r="H73" s="143"/>
      <c r="I73" s="143"/>
      <c r="J73" s="143"/>
      <c r="R73" s="143"/>
      <c r="S73" s="394"/>
      <c r="V73"/>
      <c r="W73"/>
      <c r="X73"/>
      <c r="Y73"/>
      <c r="AB73" s="122"/>
      <c r="AC73" s="122"/>
      <c r="AD73" s="122"/>
    </row>
    <row r="74" spans="1:30" ht="18" customHeight="1" x14ac:dyDescent="0.25">
      <c r="A74" s="120">
        <f t="shared" si="3"/>
        <v>69</v>
      </c>
      <c r="B74" s="156"/>
      <c r="C74" s="474" t="s">
        <v>42</v>
      </c>
      <c r="D74" s="474"/>
      <c r="E74" s="474"/>
      <c r="F74" s="492">
        <f>+Cur_Period</f>
        <v>2025</v>
      </c>
      <c r="G74" s="492">
        <f>+Pre_Period</f>
        <v>2024</v>
      </c>
      <c r="H74" s="493" t="s">
        <v>13</v>
      </c>
      <c r="I74" s="492" t="str">
        <f>+F2</f>
        <v>4Q25</v>
      </c>
      <c r="J74" s="492" t="str">
        <f>+F3</f>
        <v>4Q24</v>
      </c>
      <c r="L74" s="573" t="str">
        <f>+IF($K$2="EN",Text!$B$27,Text!$C$27)</f>
        <v>Europe</v>
      </c>
      <c r="R74" s="143"/>
      <c r="S74" s="394"/>
      <c r="V74"/>
      <c r="W74"/>
      <c r="X74"/>
      <c r="Y74"/>
      <c r="AB74" s="122"/>
      <c r="AC74" s="122"/>
      <c r="AD74" s="122"/>
    </row>
    <row r="75" spans="1:30" ht="18" customHeight="1" x14ac:dyDescent="0.25">
      <c r="A75" s="120">
        <f t="shared" si="3"/>
        <v>70</v>
      </c>
      <c r="B75" s="156"/>
      <c r="C75" s="512" t="str">
        <f>+IF($K$2="EN",Text!$B$21,Text!$C$21)</f>
        <v>Onshore Wind</v>
      </c>
      <c r="D75" s="475"/>
      <c r="E75" s="475"/>
      <c r="F75" s="513" vm="320">
        <f>+[3]Backup!$J$811</f>
        <v>0.29041024626370576</v>
      </c>
      <c r="G75" s="514" vm="40">
        <f>+[3]Backup!$F$811</f>
        <v>0.29345519724520736</v>
      </c>
      <c r="H75" s="554">
        <f>+(F75-G75)*100</f>
        <v>-0.30449509815015929</v>
      </c>
      <c r="I75" s="513" vm="310">
        <f>+[3]Backup!$X$811</f>
        <v>0.31056972445358222</v>
      </c>
      <c r="J75" s="514" vm="360">
        <f>+[3]Backup!$T$811</f>
        <v>0.32195735400347436</v>
      </c>
      <c r="K75" s="126"/>
      <c r="L75" s="573"/>
      <c r="M75" s="143"/>
      <c r="N75" s="143"/>
      <c r="O75" s="143"/>
      <c r="P75" s="143"/>
      <c r="Q75" s="143"/>
      <c r="R75" s="143"/>
      <c r="S75" s="464"/>
      <c r="V75"/>
      <c r="W75"/>
      <c r="X75"/>
      <c r="Y75"/>
      <c r="AB75" s="122"/>
      <c r="AC75" s="122"/>
      <c r="AD75" s="122"/>
    </row>
    <row r="76" spans="1:30" ht="18" customHeight="1" x14ac:dyDescent="0.25">
      <c r="A76" s="120">
        <f t="shared" si="3"/>
        <v>71</v>
      </c>
      <c r="B76" s="156"/>
      <c r="C76" s="428" t="str">
        <f>+IF($K$2="EN",Text!$B$28,Text!$C$28)</f>
        <v>Spain</v>
      </c>
      <c r="D76" s="422"/>
      <c r="E76" s="422"/>
      <c r="F76" s="384" vm="95">
        <f>+[3]Backup!$J$813</f>
        <v>0.23414602229969042</v>
      </c>
      <c r="G76" s="385" vm="270">
        <f>+[3]Backup!$F$813</f>
        <v>0.24573514537632035</v>
      </c>
      <c r="H76" s="386">
        <f t="shared" ref="H76:H81" si="14">+(F76-G76)*100</f>
        <v>-1.1589123076629932</v>
      </c>
      <c r="I76" s="384" vm="311">
        <f>+[3]Backup!$X$813</f>
        <v>0.25993293798505934</v>
      </c>
      <c r="J76" s="385" vm="55">
        <f>+[3]Backup!$T$813</f>
        <v>0.26087005045318695</v>
      </c>
      <c r="K76" s="126"/>
      <c r="L76" s="510"/>
      <c r="R76" s="143"/>
      <c r="S76" s="394"/>
      <c r="V76"/>
      <c r="W76"/>
      <c r="X76"/>
      <c r="Y76"/>
      <c r="AB76" s="122"/>
      <c r="AC76" s="122"/>
      <c r="AD76" s="122"/>
    </row>
    <row r="77" spans="1:30" ht="18" customHeight="1" x14ac:dyDescent="0.25">
      <c r="A77" s="120">
        <f t="shared" si="3"/>
        <v>72</v>
      </c>
      <c r="B77" s="156"/>
      <c r="C77" s="428" t="str">
        <f>+IF($K$2="EN",Text!$B$29,Text!$C$29)</f>
        <v>Portugal</v>
      </c>
      <c r="D77" s="422"/>
      <c r="E77" s="422"/>
      <c r="F77" s="384" vm="110">
        <f>+[3]Backup!$J$814</f>
        <v>0.2784273012021769</v>
      </c>
      <c r="G77" s="385" vm="289">
        <f>+[3]Backup!$F$814</f>
        <v>0.28543046623967533</v>
      </c>
      <c r="H77" s="386">
        <f t="shared" si="14"/>
        <v>-0.70031650374984267</v>
      </c>
      <c r="I77" s="384" vm="314">
        <f>+[3]Backup!$X$814</f>
        <v>0.28706257090032106</v>
      </c>
      <c r="J77" s="385" vm="282">
        <f>+[3]Backup!$T$814</f>
        <v>0.32672717342066987</v>
      </c>
      <c r="K77" s="126"/>
      <c r="L77" s="574" t="str">
        <f>+IF($K$2="EN",Text!$B$51,Text!$C$51)</f>
        <v>N. America</v>
      </c>
      <c r="R77" s="143"/>
      <c r="S77" s="464"/>
      <c r="V77"/>
      <c r="W77"/>
      <c r="X77"/>
      <c r="Y77"/>
      <c r="AB77" s="122"/>
      <c r="AC77" s="122"/>
      <c r="AD77" s="122"/>
    </row>
    <row r="78" spans="1:30" ht="18" customHeight="1" x14ac:dyDescent="0.25">
      <c r="A78" s="120">
        <f t="shared" si="3"/>
        <v>73</v>
      </c>
      <c r="C78" s="428" t="str">
        <f>+IF($K$2="EN",Text!$B$30,Text!$C$30)</f>
        <v>Rest of Europe</v>
      </c>
      <c r="D78" s="427"/>
      <c r="E78" s="427"/>
      <c r="F78" s="384" vm="71">
        <f>+[3]Backup!$J$815</f>
        <v>0.2327083662742768</v>
      </c>
      <c r="G78" s="385" vm="295">
        <f>+[3]Backup!$F$815</f>
        <v>0.25389541856090131</v>
      </c>
      <c r="H78" s="386">
        <f t="shared" si="14"/>
        <v>-2.1187052286624515</v>
      </c>
      <c r="I78" s="384" vm="309">
        <f>+[3]Backup!$X$815</f>
        <v>0.25839678366204671</v>
      </c>
      <c r="J78" s="385" vm="38">
        <f>+[3]Backup!$T$815</f>
        <v>0.2771681064009246</v>
      </c>
      <c r="K78" s="126"/>
      <c r="L78" s="574"/>
      <c r="R78" s="143"/>
      <c r="S78" s="394"/>
      <c r="W78"/>
      <c r="X78"/>
      <c r="Y78"/>
      <c r="AB78" s="122"/>
      <c r="AC78" s="122"/>
      <c r="AD78" s="122"/>
    </row>
    <row r="79" spans="1:30" ht="18" customHeight="1" x14ac:dyDescent="0.25">
      <c r="A79" s="120">
        <f t="shared" si="3"/>
        <v>74</v>
      </c>
      <c r="B79" s="156"/>
      <c r="C79" s="421" t="str">
        <f>+IF($K$2="EN",Text!$B$27,Text!$C$27)</f>
        <v>Europe</v>
      </c>
      <c r="D79" s="422"/>
      <c r="E79" s="422"/>
      <c r="F79" s="384" vm="116">
        <f>+[3]Backup!$J$812</f>
        <v>0.24440605238771748</v>
      </c>
      <c r="G79" s="385" vm="286">
        <f>+[3]Backup!$F$812</f>
        <v>0.25842373995037249</v>
      </c>
      <c r="H79" s="386">
        <f t="shared" si="14"/>
        <v>-1.4017687562655006</v>
      </c>
      <c r="I79" s="384" vm="312">
        <f>+[3]Backup!$X$812</f>
        <v>0.26598292130839779</v>
      </c>
      <c r="J79" s="385" vm="283">
        <f>+[3]Backup!$T$812</f>
        <v>0.28295951540324626</v>
      </c>
      <c r="K79" s="126"/>
      <c r="L79" s="573" t="str">
        <f>+IF(EN!$K$2="EN",Text!$B$52,Text!$C$52)</f>
        <v>S. America</v>
      </c>
      <c r="R79" s="143"/>
      <c r="S79" s="464"/>
      <c r="W79"/>
      <c r="X79"/>
      <c r="Y79"/>
      <c r="AB79" s="122"/>
      <c r="AC79" s="122"/>
      <c r="AD79" s="122"/>
    </row>
    <row r="80" spans="1:30" ht="18" customHeight="1" x14ac:dyDescent="0.25">
      <c r="A80" s="120">
        <f t="shared" si="3"/>
        <v>75</v>
      </c>
      <c r="B80" s="156"/>
      <c r="C80" s="421" t="str">
        <f>+IF($K$2="EN",Text!$B$34,Text!$C$34)</f>
        <v>North America</v>
      </c>
      <c r="D80" s="422"/>
      <c r="E80" s="422"/>
      <c r="F80" s="384" vm="97">
        <f>+[3]Backup!$J$816</f>
        <v>0.31393801173749014</v>
      </c>
      <c r="G80" s="385" vm="291">
        <f>+[3]Backup!$F$816</f>
        <v>0.30853198567680407</v>
      </c>
      <c r="H80" s="386">
        <f t="shared" si="14"/>
        <v>0.54060260606860755</v>
      </c>
      <c r="I80" s="384" vm="315">
        <f>+[3]Backup!$X$816</f>
        <v>0.33686758635089442</v>
      </c>
      <c r="J80" s="385" vm="273">
        <f>+[3]Backup!$T$816</f>
        <v>0.33615886993503946</v>
      </c>
      <c r="K80" s="126"/>
      <c r="L80" s="573"/>
      <c r="R80" s="143"/>
      <c r="S80" s="465"/>
      <c r="W80"/>
      <c r="X80"/>
      <c r="Y80"/>
      <c r="Z80" s="122"/>
      <c r="AA80" s="122"/>
      <c r="AB80" s="122"/>
      <c r="AC80" s="122"/>
      <c r="AD80" s="122"/>
    </row>
    <row r="81" spans="1:34" ht="18" customHeight="1" x14ac:dyDescent="0.25">
      <c r="A81" s="120">
        <f t="shared" si="3"/>
        <v>76</v>
      </c>
      <c r="B81" s="156"/>
      <c r="C81" s="421" t="str">
        <f>+IF($K$2="EN",Text!$B$40,Text!$C$40)</f>
        <v>South America</v>
      </c>
      <c r="D81" s="429"/>
      <c r="E81" s="429"/>
      <c r="F81" s="384" vm="329">
        <f>+[3]Backup!$J$819</f>
        <v>0.37299317635476309</v>
      </c>
      <c r="G81" s="385" vm="277">
        <f>+[3]Backup!$F$819</f>
        <v>0.38960122874957143</v>
      </c>
      <c r="H81" s="386">
        <f t="shared" si="14"/>
        <v>-1.6608052394808337</v>
      </c>
      <c r="I81" s="384" vm="66">
        <f>+[3]Backup!$X$819</f>
        <v>0.36401389351808283</v>
      </c>
      <c r="J81" s="385" vm="50">
        <f>+[3]Backup!$T$819</f>
        <v>0.43125724196546211</v>
      </c>
      <c r="K81" s="126"/>
      <c r="L81" s="511"/>
      <c r="R81" s="143"/>
      <c r="S81" s="465"/>
      <c r="W81"/>
      <c r="X81"/>
      <c r="Y81"/>
      <c r="Z81" s="122"/>
      <c r="AA81" s="122"/>
      <c r="AB81" s="122"/>
      <c r="AC81" s="122"/>
      <c r="AD81" s="122"/>
    </row>
    <row r="82" spans="1:34" ht="18" customHeight="1" x14ac:dyDescent="0.25">
      <c r="A82" s="120">
        <f t="shared" si="3"/>
        <v>77</v>
      </c>
      <c r="B82" s="156"/>
      <c r="C82" s="475" t="str">
        <f>+IF($K$2="EN",Text!$B$24,Text!$C$24)</f>
        <v>Solar Utility Scale</v>
      </c>
      <c r="D82" s="515"/>
      <c r="E82" s="515"/>
      <c r="F82" s="516" vm="82">
        <f>+[3]Backup!$J$806</f>
        <v>0.23078067268922897</v>
      </c>
      <c r="G82" s="517" vm="274">
        <f>+[3]Backup!$F$806</f>
        <v>0.21057496920176114</v>
      </c>
      <c r="H82" s="518">
        <f t="shared" ref="H82:H88" si="15">+(F82-G82)*100</f>
        <v>2.0205703487467837</v>
      </c>
      <c r="I82" s="516" vm="307">
        <f>+[3]Backup!$X$806</f>
        <v>0.17803943488046148</v>
      </c>
      <c r="J82" s="517" vm="272">
        <f>+[3]Backup!$T$806</f>
        <v>0.17423767300638202</v>
      </c>
      <c r="K82" s="126"/>
      <c r="L82" s="510" t="s">
        <v>32</v>
      </c>
      <c r="R82" s="143"/>
      <c r="S82" s="465"/>
      <c r="Y82" s="133"/>
      <c r="Z82" s="122"/>
      <c r="AA82" s="122"/>
      <c r="AB82" s="122"/>
      <c r="AC82" s="122"/>
      <c r="AD82" s="122"/>
    </row>
    <row r="83" spans="1:34" ht="18" customHeight="1" x14ac:dyDescent="0.25">
      <c r="A83" s="120">
        <f t="shared" si="3"/>
        <v>78</v>
      </c>
      <c r="B83" s="156"/>
      <c r="C83" s="519" t="str">
        <f>+IF($K$2="EN",Text!$B$25,Text!$C$25)</f>
        <v>Solar DG</v>
      </c>
      <c r="D83" s="478"/>
      <c r="E83" s="478"/>
      <c r="F83" s="520">
        <f>+[3]Backup!$J$807</f>
        <v>0.14634841019784742</v>
      </c>
      <c r="G83" s="521" vm="293">
        <f>+[3]Backup!$F$807</f>
        <v>0.13514174719843694</v>
      </c>
      <c r="H83" s="507">
        <f t="shared" si="15"/>
        <v>1.1206662999410477</v>
      </c>
      <c r="I83" s="520">
        <f>+[3]Backup!$X$807</f>
        <v>0.13192635134365699</v>
      </c>
      <c r="J83" s="521" vm="275">
        <f>+[3]Backup!$T$807</f>
        <v>0.12506493997290327</v>
      </c>
      <c r="K83" s="126"/>
      <c r="L83" s="168"/>
      <c r="R83" s="143"/>
      <c r="S83" s="121" t="s">
        <v>43</v>
      </c>
      <c r="Y83" s="133"/>
      <c r="Z83" s="122"/>
      <c r="AA83" s="122"/>
      <c r="AB83" s="122"/>
      <c r="AC83" s="122"/>
      <c r="AD83" s="122"/>
    </row>
    <row r="84" spans="1:34" ht="18" customHeight="1" x14ac:dyDescent="0.25">
      <c r="A84" s="120">
        <f t="shared" si="3"/>
        <v>79</v>
      </c>
      <c r="C84" s="478" t="str">
        <f>C37</f>
        <v>EDPR</v>
      </c>
      <c r="D84" s="478"/>
      <c r="E84" s="478"/>
      <c r="F84" s="505" vm="322">
        <f>+[3]Backup!$J$758</f>
        <v>0.27716056530796901</v>
      </c>
      <c r="G84" s="522" vm="39">
        <f>+[3]Backup!$F$758</f>
        <v>0.27949810330195163</v>
      </c>
      <c r="H84" s="523">
        <f t="shared" si="15"/>
        <v>-0.23375379939826191</v>
      </c>
      <c r="I84" s="505" vm="313">
        <f>+[3]Backup!$X$758</f>
        <v>0.27591022220818273</v>
      </c>
      <c r="J84" s="522" vm="271">
        <f>+[3]Backup!$T$758</f>
        <v>0.29828599920097021</v>
      </c>
      <c r="K84" s="126"/>
      <c r="L84" s="394"/>
      <c r="R84" s="143"/>
      <c r="S84" s="121" t="s">
        <v>44</v>
      </c>
      <c r="V84" s="143"/>
      <c r="Y84" s="133"/>
      <c r="Z84" s="122"/>
      <c r="AA84" s="122"/>
      <c r="AB84" s="122"/>
      <c r="AC84" s="122"/>
      <c r="AD84" s="122"/>
    </row>
    <row r="85" spans="1:34" s="143" customFormat="1" ht="18" customHeight="1" thickBot="1" x14ac:dyDescent="0.55000000000000004">
      <c r="A85" s="120">
        <f t="shared" si="3"/>
        <v>80</v>
      </c>
      <c r="C85" s="421" t="str">
        <f>+IF($K$2="EN",Text!$B$27,Text!$C$27)</f>
        <v>Europe</v>
      </c>
      <c r="D85" s="422"/>
      <c r="E85" s="422"/>
      <c r="F85" s="438" vm="118">
        <f>+[3]Backup!$J$760</f>
        <v>0.23493957216475803</v>
      </c>
      <c r="G85" s="439" vm="281">
        <f>+[3]Backup!$F$760</f>
        <v>0.25368455574464371</v>
      </c>
      <c r="H85" s="440">
        <f t="shared" si="15"/>
        <v>-1.8744983579885688</v>
      </c>
      <c r="I85" s="438" vm="308">
        <f>+[3]Backup!$X$760</f>
        <v>0.24342689887208313</v>
      </c>
      <c r="J85" s="439" vm="280">
        <f>+[3]Backup!$T$760</f>
        <v>0.27059952894801265</v>
      </c>
      <c r="K85" s="126"/>
      <c r="L85" s="504" t="str">
        <f>+IF($K$2="EN",Text!$B$13,Text!$C$13)</f>
        <v>Renewables Index (vs. P50 Gross Capacity Factor)</v>
      </c>
      <c r="M85" s="145"/>
      <c r="N85" s="145"/>
      <c r="O85" s="145"/>
      <c r="P85" s="145"/>
      <c r="Q85" s="145"/>
      <c r="S85" s="121"/>
      <c r="T85" s="291"/>
      <c r="U85" s="291"/>
      <c r="V85" s="291"/>
      <c r="W85" s="292"/>
      <c r="X85"/>
      <c r="Y85"/>
      <c r="Z85"/>
      <c r="AA85"/>
      <c r="AB85"/>
      <c r="AC85"/>
      <c r="AD85"/>
      <c r="AE85"/>
      <c r="AF85"/>
      <c r="AG85" s="121"/>
      <c r="AH85" s="121"/>
    </row>
    <row r="86" spans="1:34" ht="18" customHeight="1" x14ac:dyDescent="0.25">
      <c r="A86" s="120">
        <f t="shared" si="3"/>
        <v>81</v>
      </c>
      <c r="C86" s="421" t="str">
        <f>+IF($K$2="EN",Text!$B$34,Text!$C$34)</f>
        <v>North America</v>
      </c>
      <c r="D86" s="422"/>
      <c r="E86" s="422"/>
      <c r="F86" s="438" vm="83">
        <f>+[3]Backup!$J$775</f>
        <v>0.30395551415516464</v>
      </c>
      <c r="G86" s="441" vm="288">
        <f>+[3]Backup!$F$775</f>
        <v>0.30475687144410402</v>
      </c>
      <c r="H86" s="558">
        <f t="shared" si="15"/>
        <v>-8.0135728893937497E-2</v>
      </c>
      <c r="I86" s="438" vm="84">
        <f>+[3]Backup!$X$775</f>
        <v>0.2981195483796294</v>
      </c>
      <c r="J86" s="441" vm="276">
        <f>+[3]Backup!$T$775</f>
        <v>0.32765662797159173</v>
      </c>
      <c r="K86" s="126"/>
      <c r="R86" s="143"/>
      <c r="T86" s="291"/>
      <c r="U86" s="291"/>
      <c r="V86" s="143"/>
      <c r="Y86" s="133"/>
      <c r="Z86" s="122"/>
      <c r="AA86" s="122"/>
      <c r="AB86" s="122"/>
      <c r="AC86" s="122"/>
      <c r="AD86" s="122"/>
    </row>
    <row r="87" spans="1:34" ht="18" customHeight="1" x14ac:dyDescent="0.25">
      <c r="A87" s="120">
        <f t="shared" si="3"/>
        <v>82</v>
      </c>
      <c r="C87" s="421" t="str">
        <f>+IF($K$2="EN",Text!$B$40,Text!$C$40)</f>
        <v>South America</v>
      </c>
      <c r="D87" s="422"/>
      <c r="E87" s="422"/>
      <c r="F87" s="438" vm="348">
        <f>+[3]Backup!$J$784</f>
        <v>0.30273242222756419</v>
      </c>
      <c r="G87" s="439" vm="278">
        <f>+[3]Backup!$F$784</f>
        <v>0.34185295611073863</v>
      </c>
      <c r="H87" s="440">
        <f t="shared" si="15"/>
        <v>-3.9120533883174433</v>
      </c>
      <c r="I87" s="438" vm="316">
        <f>+[3]Backup!$X$784</f>
        <v>0.29957577264828056</v>
      </c>
      <c r="J87" s="439" vm="52">
        <f>+[3]Backup!$T$784</f>
        <v>0.37005751936117626</v>
      </c>
      <c r="K87" s="126"/>
      <c r="L87" s="474" t="s">
        <v>45</v>
      </c>
      <c r="M87" s="474"/>
      <c r="N87" s="474"/>
      <c r="O87" s="492">
        <f>+Cur_Period</f>
        <v>2025</v>
      </c>
      <c r="P87" s="492">
        <f>+Pre_Period</f>
        <v>2024</v>
      </c>
      <c r="Q87" s="493" t="s">
        <v>13</v>
      </c>
      <c r="R87" s="143"/>
      <c r="T87" s="291"/>
      <c r="U87" s="291"/>
      <c r="V87" s="143"/>
      <c r="Y87" s="133"/>
      <c r="Z87" s="122"/>
      <c r="AA87" s="122"/>
      <c r="AB87" s="122"/>
      <c r="AC87" s="122"/>
      <c r="AD87" s="122"/>
    </row>
    <row r="88" spans="1:34" ht="18" customHeight="1" x14ac:dyDescent="0.25">
      <c r="A88" s="120">
        <f t="shared" si="3"/>
        <v>83</v>
      </c>
      <c r="C88" s="421" t="str">
        <f>+IF($K$2="EN",Text!$B$46,Text!$C$46)</f>
        <v>APAC</v>
      </c>
      <c r="D88" s="419"/>
      <c r="E88" s="419"/>
      <c r="F88" s="438">
        <f>+[3]Backup!$J$789</f>
        <v>0.16534071417559884</v>
      </c>
      <c r="G88" s="441" vm="287">
        <f>+[3]Backup!$F$789</f>
        <v>0.168966314447727</v>
      </c>
      <c r="H88" s="558">
        <f t="shared" si="15"/>
        <v>-0.36256002721281599</v>
      </c>
      <c r="I88" s="438">
        <f>+[3]Backup!$X$789</f>
        <v>0.13928454212445901</v>
      </c>
      <c r="J88" s="441" vm="58">
        <f>+[3]Backup!$T$789</f>
        <v>0.14738307267094605</v>
      </c>
      <c r="K88" s="126"/>
      <c r="L88" s="478" t="str">
        <f>C37</f>
        <v>EDPR</v>
      </c>
      <c r="M88" s="478"/>
      <c r="N88" s="478"/>
      <c r="O88" s="505">
        <f>+[3]Backup!$J$839</f>
        <v>0.94718714126695358</v>
      </c>
      <c r="P88" s="506">
        <f>+[3]Backup!$F$839</f>
        <v>0.97637810627529453</v>
      </c>
      <c r="Q88" s="507">
        <f>+(O88-P88)*100</f>
        <v>-2.9190965008340952</v>
      </c>
      <c r="R88" s="143"/>
      <c r="S88" s="121" t="s">
        <v>46</v>
      </c>
      <c r="T88" s="291"/>
      <c r="U88" s="291"/>
      <c r="Y88" s="133"/>
      <c r="Z88" s="173"/>
    </row>
    <row r="89" spans="1:34" ht="18" customHeight="1" x14ac:dyDescent="0.35">
      <c r="A89" s="120">
        <f t="shared" si="3"/>
        <v>84</v>
      </c>
      <c r="L89" s="508"/>
      <c r="M89" s="508"/>
      <c r="N89" s="508"/>
      <c r="O89" s="508"/>
      <c r="P89" s="508"/>
      <c r="Q89" s="509"/>
      <c r="R89" s="143"/>
      <c r="S89" s="143"/>
      <c r="T89" s="291"/>
      <c r="U89" s="291"/>
      <c r="Y89" s="133"/>
      <c r="Z89" s="173"/>
    </row>
    <row r="90" spans="1:34" ht="18" customHeight="1" x14ac:dyDescent="0.25">
      <c r="A90" s="120">
        <f t="shared" si="3"/>
        <v>85</v>
      </c>
      <c r="Q90" s="143"/>
      <c r="R90" s="143"/>
      <c r="S90" s="143"/>
      <c r="Y90" s="133"/>
      <c r="Z90" s="173"/>
    </row>
    <row r="91" spans="1:34" ht="18" customHeight="1" x14ac:dyDescent="0.25">
      <c r="A91" s="120">
        <f t="shared" si="3"/>
        <v>86</v>
      </c>
      <c r="Y91" s="133"/>
      <c r="Z91" s="173"/>
    </row>
    <row r="92" spans="1:34" ht="18" customHeight="1" x14ac:dyDescent="0.25">
      <c r="A92" s="120">
        <f t="shared" si="3"/>
        <v>87</v>
      </c>
      <c r="C92" s="390" t="str">
        <f>+IF($K$2="EN",Text!$B$69,Text!$C$69)</f>
        <v>(1) AR/Decom. variation considers the decommisioning of 33 MW in NA, 9 MW in APAC and 1 MW in France.</v>
      </c>
      <c r="Y92" s="133"/>
    </row>
    <row r="93" spans="1:34" ht="18" customHeight="1" x14ac:dyDescent="0.25">
      <c r="A93" s="120">
        <f t="shared" si="3"/>
        <v>88</v>
      </c>
      <c r="C93" s="390" t="str">
        <f>+IF($K$2="EN",Text!$B$71,Text!$C$71)</f>
        <v>Note: Solar capacity and solar load factors reported in MWac. BESS: Battery Energy Storage Systems.</v>
      </c>
      <c r="Y93" s="133"/>
      <c r="Z93" s="174"/>
    </row>
    <row r="94" spans="1:34" ht="18" customHeight="1" x14ac:dyDescent="0.25">
      <c r="A94" s="120">
        <f t="shared" si="3"/>
        <v>89</v>
      </c>
      <c r="T94" s="287"/>
      <c r="Y94" s="133"/>
      <c r="Z94" s="174"/>
    </row>
    <row r="95" spans="1:34" ht="18" customHeight="1" x14ac:dyDescent="0.25">
      <c r="A95" s="120">
        <f t="shared" si="3"/>
        <v>90</v>
      </c>
      <c r="N95" s="567" t="str">
        <f>+IF($K$2="EN",Text!$B$72,Text!$C$72)</f>
        <v>EDPR Investor Relations</v>
      </c>
      <c r="O95" s="567"/>
      <c r="P95" s="567"/>
      <c r="Q95" s="568" t="str">
        <f>+IF($K$2="EN",Text!$B$73,Text!$C$73)</f>
        <v>Phone: +34 900 830 004</v>
      </c>
      <c r="R95" s="569"/>
      <c r="Y95" s="133"/>
      <c r="Z95" s="174"/>
    </row>
    <row r="96" spans="1:34" ht="18" customHeight="1" x14ac:dyDescent="0.25">
      <c r="A96" s="120">
        <f t="shared" si="3"/>
        <v>91</v>
      </c>
      <c r="C96" s="414" t="str">
        <f>+IF($K$2="EN",Text!$B$76,Text!$C$76)</f>
        <v>EDP Renováveis, S.A. | Head office: Plaza del Fresno, 2 - 33007 Oviedo, Spain</v>
      </c>
      <c r="O96" s="567" t="str">
        <f>+IF($K$2="EN",Text!$B$75,Text!$C$75)</f>
        <v>Site: www.edpr-investors.com</v>
      </c>
      <c r="P96" s="567"/>
      <c r="Q96" s="413" t="str">
        <f>+IF($K$2="EN",Text!$B$74,Text!$C$74)</f>
        <v>Email: ir@edpr.com</v>
      </c>
    </row>
    <row r="97" spans="1:27" ht="18" customHeight="1" x14ac:dyDescent="0.25">
      <c r="A97" s="120">
        <v>1</v>
      </c>
    </row>
    <row r="98" spans="1:27" ht="51" customHeight="1" thickBot="1" x14ac:dyDescent="0.4">
      <c r="A98" s="120">
        <f t="shared" ref="A98:A161" si="16">A97+1</f>
        <v>2</v>
      </c>
      <c r="C98" s="473" t="str">
        <f>+IF($K$2="EN",Text!$B$2,Text!$C$2)</f>
        <v>Operating Data Preview 2025</v>
      </c>
      <c r="I98" s="411"/>
      <c r="K98" s="156"/>
      <c r="L98" s="129"/>
      <c r="M98" s="124" t="str">
        <f>+IF($N$2="YES","DRAFT","")</f>
        <v/>
      </c>
      <c r="N98" s="412"/>
      <c r="T98" s="132" t="s">
        <v>47</v>
      </c>
      <c r="U98" s="132"/>
      <c r="V98" s="132"/>
    </row>
    <row r="99" spans="1:27" ht="18" customHeight="1" x14ac:dyDescent="0.25">
      <c r="A99" s="120">
        <f t="shared" si="16"/>
        <v>3</v>
      </c>
      <c r="C99" s="525" t="str">
        <f>+IF($K$2="EN",Text!$B$5,Text!$C$5)</f>
        <v>Madrid, January 22nd, 2026</v>
      </c>
      <c r="D99" s="177"/>
      <c r="E99" s="177"/>
      <c r="F99" s="177"/>
      <c r="G99" s="177"/>
      <c r="H99" s="177"/>
      <c r="I99" s="177"/>
      <c r="J99" s="177"/>
      <c r="K99" s="177"/>
      <c r="L99" s="177"/>
      <c r="M99" s="177"/>
      <c r="N99" s="177"/>
      <c r="O99" s="177"/>
      <c r="P99" s="177"/>
      <c r="Q99" s="177"/>
      <c r="X99" s="337" t="s">
        <v>48</v>
      </c>
    </row>
    <row r="100" spans="1:27" ht="18" customHeight="1" x14ac:dyDescent="0.25">
      <c r="A100" s="120">
        <f t="shared" si="16"/>
        <v>4</v>
      </c>
      <c r="T100" s="136" t="s">
        <v>9</v>
      </c>
      <c r="U100" s="137">
        <f>+Cur_Period</f>
        <v>2025</v>
      </c>
      <c r="V100" s="137" t="s">
        <v>49</v>
      </c>
      <c r="X100" s="137" t="s">
        <v>50</v>
      </c>
    </row>
    <row r="101" spans="1:27" ht="18" customHeight="1" thickBot="1" x14ac:dyDescent="0.55000000000000004">
      <c r="A101" s="120">
        <f t="shared" si="16"/>
        <v>5</v>
      </c>
      <c r="C101" s="477" t="str">
        <f>C30</f>
        <v>Installed Capacity</v>
      </c>
      <c r="D101" s="145"/>
      <c r="E101" s="145"/>
      <c r="F101" s="145"/>
      <c r="G101" s="145"/>
      <c r="H101" s="145"/>
      <c r="I101" s="145"/>
      <c r="J101" s="145"/>
      <c r="L101" s="570" t="str">
        <f>+IF($K$2="EN",Text!$B$14,Text!$C$14)</f>
        <v>Installed Capacity by Technology</v>
      </c>
      <c r="M101" s="570"/>
      <c r="N101" s="570"/>
      <c r="O101" s="570"/>
      <c r="P101" s="570"/>
      <c r="Q101" s="570"/>
      <c r="T101" s="138" t="str">
        <f>+IF($K$2="EN",Text!$B$28,Text!$C$28)</f>
        <v>Spain</v>
      </c>
      <c r="U101" s="183" vm="350">
        <f>+[3]Backup!$J$64</f>
        <v>2081.7400000000002</v>
      </c>
      <c r="V101" s="183">
        <f>U101-F104</f>
        <v>0</v>
      </c>
      <c r="X101" s="265" vm="298">
        <f>+[3]Backup!$F$64</f>
        <v>2334.6200000000008</v>
      </c>
      <c r="Y101" s="265">
        <f>ROUND(X101+I104-U101,1)</f>
        <v>0</v>
      </c>
    </row>
    <row r="102" spans="1:27" ht="18" customHeight="1" x14ac:dyDescent="0.25">
      <c r="A102" s="120">
        <f t="shared" si="16"/>
        <v>6</v>
      </c>
      <c r="G102" s="131"/>
      <c r="H102" s="481">
        <f>Cur_Year</f>
        <v>2025</v>
      </c>
      <c r="I102" s="131"/>
      <c r="T102" s="138" t="str">
        <f>+IF($K$2="EN",Text!$B$29,Text!$C$29)</f>
        <v>Portugal</v>
      </c>
      <c r="U102" s="183" vm="356">
        <f>+[3]Backup!$J$65</f>
        <v>1426.07</v>
      </c>
      <c r="V102" s="183">
        <f t="shared" ref="V102:V106" si="17">U102-F105</f>
        <v>0</v>
      </c>
      <c r="W102" s="369"/>
      <c r="X102" s="265" vm="296">
        <f>+[3]Backup!$F$65</f>
        <v>1412.97</v>
      </c>
      <c r="Y102" s="265">
        <f t="shared" ref="Y102:Y106" si="18">ROUND(X102+I105-U102,1)</f>
        <v>0</v>
      </c>
      <c r="AA102" s="369"/>
    </row>
    <row r="103" spans="1:27" ht="18" customHeight="1" x14ac:dyDescent="0.25">
      <c r="A103" s="120">
        <f t="shared" si="16"/>
        <v>7</v>
      </c>
      <c r="C103" s="524" t="s">
        <v>9</v>
      </c>
      <c r="D103" s="418"/>
      <c r="E103" s="418"/>
      <c r="F103" s="492">
        <f>+Cur_Period</f>
        <v>2025</v>
      </c>
      <c r="G103" s="481" t="str">
        <f>+IF($K$2="EN",Text!$B$61,Text!$C$61)</f>
        <v>Additions</v>
      </c>
      <c r="H103" s="481" t="str">
        <f>+IF($K$2="EN",Text!$B$62,Text!$C$62)</f>
        <v>AR/Decom.</v>
      </c>
      <c r="I103" s="481" t="s">
        <v>8</v>
      </c>
      <c r="J103" s="481" t="str">
        <f>+IF($K$2="EN",Text!$B$63,Text!$C$63)</f>
        <v>U/C</v>
      </c>
      <c r="T103" s="138" t="str">
        <f>+IF($K$2="EN",Text!$B$30,Text!$C$30)</f>
        <v>Rest of Europe</v>
      </c>
      <c r="U103" s="183">
        <f>+[3]Backup!$J$66</f>
        <v>2216.5214999999994</v>
      </c>
      <c r="V103" s="183">
        <f t="shared" si="17"/>
        <v>0</v>
      </c>
      <c r="W103" s="120"/>
      <c r="X103" s="265">
        <f>+[3]Backup!$F$66</f>
        <v>2266.7609999999995</v>
      </c>
      <c r="Y103" s="264">
        <f t="shared" si="18"/>
        <v>0</v>
      </c>
    </row>
    <row r="104" spans="1:27" ht="18" customHeight="1" x14ac:dyDescent="0.25">
      <c r="A104" s="120">
        <f t="shared" si="16"/>
        <v>8</v>
      </c>
      <c r="C104" s="421" t="str">
        <f>+IF($K$2="EN",Text!$B$28,Text!$C$28)</f>
        <v>Spain</v>
      </c>
      <c r="D104" s="419"/>
      <c r="E104" s="419"/>
      <c r="F104" s="297">
        <f>SUMIFS(F$153:F$167,C$153:C$167,$C104)+SUMIFS(F$131:F$141,C$131:C$141,$C104)</f>
        <v>2081.7400000000002</v>
      </c>
      <c r="G104" s="350">
        <f>SUMIFS(G$153:G$167,C$153:C$167,$C104)+SUMIFS(G$131:G$141,C$131:C$141,$C104)</f>
        <v>19.68</v>
      </c>
      <c r="H104" s="350">
        <f>SUMIFS(H$153:H$167,C$153:C$167,$C104)+SUMIFS(H$131:H$141,C$131:C$141,$C104)</f>
        <v>-272.56</v>
      </c>
      <c r="I104" s="351">
        <f>SUM(G104:H104)</f>
        <v>-252.88</v>
      </c>
      <c r="J104" s="372">
        <f>SUMIFS(J$153:J$167,C$153:C$167,$C104)+SUMIFS(J$131:J$141,C$131:C$141,$C104)</f>
        <v>289.39999999999998</v>
      </c>
      <c r="T104" s="167" t="str">
        <f>+IF($K$2="EN",Text!$B$27,Text!$C$27)</f>
        <v>Europe</v>
      </c>
      <c r="U104" s="187" vm="91">
        <f>+[3]Backup!$J$63</f>
        <v>5724.3315000000011</v>
      </c>
      <c r="V104" s="187">
        <f t="shared" si="17"/>
        <v>0</v>
      </c>
      <c r="W104" s="120"/>
      <c r="X104" s="332" vm="306">
        <f>+[3]Backup!$F$63</f>
        <v>6014.3510000000006</v>
      </c>
      <c r="Y104" s="332">
        <f t="shared" si="18"/>
        <v>0</v>
      </c>
    </row>
    <row r="105" spans="1:27" ht="18" customHeight="1" x14ac:dyDescent="0.25">
      <c r="A105" s="120">
        <f t="shared" si="16"/>
        <v>9</v>
      </c>
      <c r="C105" s="421" t="str">
        <f>+IF($K$2="EN",Text!$B$29,Text!$C$29)</f>
        <v>Portugal</v>
      </c>
      <c r="D105" s="419"/>
      <c r="E105" s="419"/>
      <c r="F105" s="297">
        <f>SUMIFS(F$153:F$167,C$153:C$167,$C105)+SUMIFS(F$131:F$141,C$131:C$141,$C105)</f>
        <v>1426.0700000000002</v>
      </c>
      <c r="G105" s="350">
        <f>SUMIFS(G$153:G$167,C$153:C$167,$C105)+SUMIFS(G$131:G$141,C$131:C$141,$C105)</f>
        <v>61</v>
      </c>
      <c r="H105" s="350">
        <f>SUMIFS(H$153:H$167,C$153:C$167,$C105)+SUMIFS(H$131:H$141,C$131:C$141,$C105)</f>
        <v>-47.9</v>
      </c>
      <c r="I105" s="351">
        <f t="shared" ref="I105" si="19">SUM(G105:H105)</f>
        <v>13.100000000000001</v>
      </c>
      <c r="J105" s="372">
        <f>SUMIFS(J$153:J$167,C$153:C$167,$C105)+SUMIFS(J$131:J$141,C$131:C$141,$C105)</f>
        <v>0</v>
      </c>
      <c r="K105" s="369"/>
      <c r="T105" s="138" t="str">
        <f>+IF($K$2="EN",Text!$B$35,Text!$C$35)</f>
        <v>US</v>
      </c>
      <c r="U105" s="183" vm="323">
        <f>+[3]Backup!$J$79</f>
        <v>9483.3721000000569</v>
      </c>
      <c r="V105" s="187">
        <f>ROUND(U105,2)-ROUND(F108,2)</f>
        <v>0</v>
      </c>
      <c r="W105" s="120"/>
      <c r="X105" s="265" vm="304">
        <f>+[3]Backup!$F$79</f>
        <v>8421.9060000000482</v>
      </c>
      <c r="Y105" s="264">
        <f t="shared" si="18"/>
        <v>0</v>
      </c>
    </row>
    <row r="106" spans="1:27" ht="18" customHeight="1" x14ac:dyDescent="0.25">
      <c r="A106" s="120">
        <f t="shared" si="16"/>
        <v>10</v>
      </c>
      <c r="C106" s="421" t="str">
        <f>+IF($K$2="EN",Text!$B$30,Text!$C$30)</f>
        <v>Rest of Europe</v>
      </c>
      <c r="D106" s="419"/>
      <c r="E106" s="419"/>
      <c r="F106" s="297">
        <f>SUMIFS(F$153:F$167,C$153:C$167,$C106)+SUMIFS(F$131:F$141,C$131:C$141,$C106)</f>
        <v>2216.5214999999998</v>
      </c>
      <c r="G106" s="350">
        <f>SUMIFS(G$153:G$167,C$153:C$167,$C106)+SUMIFS(G$131:G$141,C$131:C$141,$C106)</f>
        <v>428.62149999999997</v>
      </c>
      <c r="H106" s="370">
        <f>SUMIFS(H$153:H$167,C$153:C$167,$C106)+SUMIFS(H$131:H$141,C$131:C$141,$C106)</f>
        <v>-478.86099999999999</v>
      </c>
      <c r="I106" s="351">
        <f t="shared" ref="I106:I122" si="20">SUM(G106:H106)</f>
        <v>-50.239500000000021</v>
      </c>
      <c r="J106" s="372">
        <f>SUMIFS(J$153:J$167,C$153:C$167,$C106)+SUMIFS(J$131:J$141,C$131:C$141,$C106)</f>
        <v>263.55</v>
      </c>
      <c r="K106" s="369"/>
      <c r="T106" s="138" t="str">
        <f>+IF($K$2="EN",Text!$B$38,Text!$C$38)</f>
        <v>Canada &amp; Mexico</v>
      </c>
      <c r="U106" s="265">
        <f>+U107+U108</f>
        <v>625.26</v>
      </c>
      <c r="V106" s="358">
        <f t="shared" si="17"/>
        <v>0</v>
      </c>
      <c r="W106" s="120"/>
      <c r="X106" s="265">
        <f>+X107+X108</f>
        <v>625.26</v>
      </c>
      <c r="Y106" s="265">
        <f t="shared" si="18"/>
        <v>0</v>
      </c>
    </row>
    <row r="107" spans="1:27" ht="18" customHeight="1" x14ac:dyDescent="0.25">
      <c r="A107" s="120">
        <f t="shared" si="16"/>
        <v>11</v>
      </c>
      <c r="C107" s="475" t="str">
        <f>+IF($K$2="EN",Text!$B$27,Text!$C$27)</f>
        <v>Europe</v>
      </c>
      <c r="D107" s="515"/>
      <c r="E107" s="515"/>
      <c r="F107" s="528">
        <f>+SUM(F104:F106)</f>
        <v>5724.3315000000002</v>
      </c>
      <c r="G107" s="529">
        <f>SUM(G104:G106)</f>
        <v>509.30149999999998</v>
      </c>
      <c r="H107" s="529">
        <f>SUM(H104:H106)</f>
        <v>-799.32099999999991</v>
      </c>
      <c r="I107" s="530">
        <f t="shared" si="20"/>
        <v>-290.01949999999994</v>
      </c>
      <c r="J107" s="483">
        <f>+SUM(J104:J106)</f>
        <v>552.95000000000005</v>
      </c>
      <c r="K107" s="369"/>
      <c r="T107" s="293" t="str">
        <f>+IF($K$2="EN",Text!$B$36,Text!$C$36)</f>
        <v>Canada</v>
      </c>
      <c r="U107" s="294" vm="69">
        <f>+[3]Backup!$J$80</f>
        <v>129.76</v>
      </c>
      <c r="V107" s="359"/>
      <c r="W107" s="120"/>
      <c r="X107" s="333" vm="8">
        <f>+[3]Backup!$F$80</f>
        <v>129.76</v>
      </c>
      <c r="Y107" s="333"/>
    </row>
    <row r="108" spans="1:27" ht="18" customHeight="1" x14ac:dyDescent="0.25">
      <c r="A108" s="120">
        <f t="shared" si="16"/>
        <v>12</v>
      </c>
      <c r="C108" s="421" t="str">
        <f>+IF($K$2="EN",Text!$B$35,Text!$C$35)</f>
        <v>US</v>
      </c>
      <c r="D108" s="419"/>
      <c r="E108" s="419"/>
      <c r="F108" s="297">
        <f>SUMIFS(F$153:F$167,C$153:C$167,$C108)+SUMIFS(F$131:F$141,C$131:C$141,$C108)</f>
        <v>9483.3721000000151</v>
      </c>
      <c r="G108" s="370">
        <f>SUMIFS(G$153:G$167,C$153:C$167,$C108)+SUMIFS(G$131:G$141,C$131:C$141,$C108)</f>
        <v>1094.6120999999998</v>
      </c>
      <c r="H108" s="350">
        <f>SUMIFS(H$153:H$167,C$153:C$167,$C108)+SUMIFS(H$131:H$141,C$131:C$141,$C108)</f>
        <v>-33.146000000000001</v>
      </c>
      <c r="I108" s="351">
        <f>SUM(G108:H108)</f>
        <v>1061.4660999999999</v>
      </c>
      <c r="J108" s="372">
        <f>SUMIFS(J$153:J$167,C$153:C$167,$C108)+SUMIFS(J$131:J$141,C$131:C$141,$C108)</f>
        <v>626.71500000000015</v>
      </c>
      <c r="K108" s="369"/>
      <c r="O108" s="124"/>
      <c r="T108" s="293" t="str">
        <f>+IF($K$2="EN",Text!$B$37,Text!$C$37)</f>
        <v>Mexico</v>
      </c>
      <c r="U108" s="294" vm="340">
        <f>+[3]Backup!$J$81</f>
        <v>495.5</v>
      </c>
      <c r="V108" s="359"/>
      <c r="W108" s="120"/>
      <c r="X108" s="333" vm="303">
        <f>+[3]Backup!$F$81</f>
        <v>495.5</v>
      </c>
      <c r="Y108" s="333"/>
    </row>
    <row r="109" spans="1:27" ht="18" customHeight="1" x14ac:dyDescent="0.25">
      <c r="A109" s="120">
        <f t="shared" si="16"/>
        <v>13</v>
      </c>
      <c r="C109" s="421" t="str">
        <f>+IF($K$2="EN",Text!$B$38,Text!$C$38)</f>
        <v>Canada &amp; Mexico</v>
      </c>
      <c r="D109" s="419"/>
      <c r="E109" s="419"/>
      <c r="F109" s="297">
        <f>SUMIFS(F$153:F$167,C$153:C$167,$C109)+SUMIFS(F$131:F$141,C$131:C$141,$C109)</f>
        <v>625.26</v>
      </c>
      <c r="G109" s="350">
        <f>SUMIFS(G$153:G$167,C$153:C$167,$C109)+SUMIFS(G$131:G$141,C$131:C$141,$C109)</f>
        <v>0</v>
      </c>
      <c r="H109" s="350">
        <f>SUMIFS(H$153:H$167,C$153:C$167,$C109)+SUMIFS(H$131:H$141,C$131:C$141,$C109)</f>
        <v>0</v>
      </c>
      <c r="I109" s="351">
        <f t="shared" si="20"/>
        <v>0</v>
      </c>
      <c r="J109" s="372">
        <f>SUMIFS(J$153:J$167,C$153:C$167,$C109)+SUMIFS(J$131:J$141,C$131:C$141,$C109)</f>
        <v>0</v>
      </c>
      <c r="K109" s="369"/>
      <c r="N109" s="571" t="str">
        <f>N37</f>
        <v>20.4 GW</v>
      </c>
      <c r="O109" s="571"/>
      <c r="P109" s="124"/>
      <c r="T109" s="167" t="str">
        <f>+IF($K$2="EN",Text!$B$34,Text!$C$34)</f>
        <v>North America</v>
      </c>
      <c r="U109" s="187" vm="333">
        <f>+[3]Backup!$J$78</f>
        <v>10108.632100000026</v>
      </c>
      <c r="V109" s="187">
        <f t="shared" ref="V109:V121" si="21">U109-F110</f>
        <v>0</v>
      </c>
      <c r="W109" s="120"/>
      <c r="X109" s="332" vm="301">
        <f>+[3]Backup!$F$78</f>
        <v>9047.1660000000284</v>
      </c>
      <c r="Y109" s="338">
        <f t="shared" ref="Y109:Y121" si="22">ROUND(X109+I110-U109,1)</f>
        <v>0</v>
      </c>
    </row>
    <row r="110" spans="1:27" ht="18" customHeight="1" x14ac:dyDescent="0.25">
      <c r="A110" s="120">
        <f t="shared" si="16"/>
        <v>14</v>
      </c>
      <c r="C110" s="475" t="str">
        <f>+IF($K$2="EN",Text!$B$34,Text!$C$34)</f>
        <v>North America</v>
      </c>
      <c r="D110" s="515"/>
      <c r="E110" s="515"/>
      <c r="F110" s="528">
        <f>+SUM(F108:F109)</f>
        <v>10108.632100000015</v>
      </c>
      <c r="G110" s="529">
        <f>SUM(G108:G109)</f>
        <v>1094.6120999999998</v>
      </c>
      <c r="H110" s="529">
        <f>SUM(H108:H109)</f>
        <v>-33.146000000000001</v>
      </c>
      <c r="I110" s="530">
        <f t="shared" si="20"/>
        <v>1061.4660999999999</v>
      </c>
      <c r="J110" s="483">
        <f>+SUM(J108:J109)</f>
        <v>626.71500000000015</v>
      </c>
      <c r="K110" s="369"/>
      <c r="N110" s="571"/>
      <c r="O110" s="571"/>
      <c r="S110" s="188"/>
      <c r="T110" s="138" t="str">
        <f>+IF($K$2="EN",Text!$B$42,Text!$C$42)</f>
        <v>Brazil &amp; Chile</v>
      </c>
      <c r="U110" s="183" vm="122">
        <f>+[3]Backup!$J$84</f>
        <v>1743.2102000000004</v>
      </c>
      <c r="V110" s="357">
        <f t="shared" si="21"/>
        <v>0</v>
      </c>
      <c r="W110" s="120"/>
      <c r="X110" s="265" vm="305">
        <f>+[3]Backup!$F$84</f>
        <v>1619.3102000000008</v>
      </c>
      <c r="Y110" s="265">
        <f t="shared" si="22"/>
        <v>0</v>
      </c>
    </row>
    <row r="111" spans="1:27" ht="18" customHeight="1" x14ac:dyDescent="0.25">
      <c r="A111" s="120">
        <f t="shared" si="16"/>
        <v>15</v>
      </c>
      <c r="C111" s="421" t="str">
        <f>+IF($K$2="EN",Text!$B$41,Text!$C$41)</f>
        <v>Brazil</v>
      </c>
      <c r="D111" s="419"/>
      <c r="E111" s="419"/>
      <c r="F111" s="297">
        <f>SUMIFS(F$153:F$167,C$153:C$167,$C111)+SUMIFS(F$131:F$141,C$131:C$141,$C111)</f>
        <v>1743.2102000000002</v>
      </c>
      <c r="G111" s="350">
        <f>SUMIFS(G$153:G$167,C$153:C$167,$C111)+SUMIFS(G$131:G$141,C$131:C$141,$C111)</f>
        <v>123.9</v>
      </c>
      <c r="H111" s="350">
        <f>SUMIFS(H$153:H$167,C$153:C$167,$C111)+SUMIFS(H$131:H$141,C$131:C$141,$C111)</f>
        <v>0</v>
      </c>
      <c r="I111" s="351">
        <f t="shared" si="20"/>
        <v>123.9</v>
      </c>
      <c r="J111" s="444">
        <f>SUMIFS(J$153:J$167,C$153:C$167,$C111)+SUMIFS(J$131:J$141,C$131:C$141,$C111)</f>
        <v>0</v>
      </c>
      <c r="K111" s="369"/>
      <c r="N111" s="571"/>
      <c r="O111" s="571"/>
      <c r="S111" s="189"/>
      <c r="T111" s="138" t="s">
        <v>51</v>
      </c>
      <c r="U111" s="183">
        <f>+[3]Backup!$J$85+[3]Backup!$J$86</f>
        <v>82.6</v>
      </c>
      <c r="V111" s="357">
        <f t="shared" si="21"/>
        <v>0</v>
      </c>
      <c r="W111" s="120"/>
      <c r="X111" s="265">
        <f>+[3]Backup!$F$85+[3]Backup!$F$86</f>
        <v>82.6</v>
      </c>
      <c r="Y111" s="265">
        <f t="shared" si="22"/>
        <v>0</v>
      </c>
    </row>
    <row r="112" spans="1:27" ht="18" customHeight="1" x14ac:dyDescent="0.25">
      <c r="A112" s="120">
        <f t="shared" si="16"/>
        <v>16</v>
      </c>
      <c r="C112" s="421" t="str">
        <f>+IF($K$2="EN",Text!$B$44,Text!$C$44)</f>
        <v>Chile</v>
      </c>
      <c r="D112" s="419"/>
      <c r="E112" s="419"/>
      <c r="F112" s="297">
        <f>SUMIFS(F$153:F$167,C$153:C$167,$C112)+SUMIFS(F$131:F$141,C$131:C$141,$C112)</f>
        <v>82.6</v>
      </c>
      <c r="G112" s="350">
        <f>SUMIFS(G$153:G$167,C$153:C$167,$C112)+SUMIFS(G$131:G$141,C$131:C$141,$C112)</f>
        <v>0</v>
      </c>
      <c r="H112" s="350">
        <f>SUMIFS(H$153:H$167,C$153:C$167,$C112)+SUMIFS(H$131:H$141,C$131:C$141,$C112)</f>
        <v>0</v>
      </c>
      <c r="I112" s="351">
        <f t="shared" si="20"/>
        <v>0</v>
      </c>
      <c r="J112" s="372">
        <f>SUMIFS(J$153:J$167,C$153:C$167,$C112)+SUMIFS(J$131:J$141,C$131:C$141,$C112)</f>
        <v>60</v>
      </c>
      <c r="K112" s="369"/>
      <c r="T112" s="167" t="str">
        <f>+IF($K$2="EN",Text!$B$40,Text!$C$40)</f>
        <v>South America</v>
      </c>
      <c r="U112" s="187" vm="346">
        <f>+[3]Backup!$J$83</f>
        <v>1825.8102000000006</v>
      </c>
      <c r="V112" s="360">
        <f t="shared" si="21"/>
        <v>0</v>
      </c>
      <c r="W112" s="120"/>
      <c r="X112" s="332" vm="302">
        <f>+[3]Backup!$F$83</f>
        <v>1701.9102000000007</v>
      </c>
      <c r="Y112" s="332">
        <f t="shared" si="22"/>
        <v>0</v>
      </c>
    </row>
    <row r="113" spans="1:25" ht="18" customHeight="1" x14ac:dyDescent="0.25">
      <c r="A113" s="120">
        <f t="shared" si="16"/>
        <v>17</v>
      </c>
      <c r="C113" s="475" t="str">
        <f>+IF($K$2="EN",Text!$B$40,Text!$C$40)</f>
        <v>South America</v>
      </c>
      <c r="D113" s="515"/>
      <c r="E113" s="515"/>
      <c r="F113" s="528">
        <f>+SUM(F111:F112)</f>
        <v>1825.8102000000001</v>
      </c>
      <c r="G113" s="529">
        <f>SUM(G111:G112)</f>
        <v>123.9</v>
      </c>
      <c r="H113" s="529">
        <f>SUM(H111:H112)</f>
        <v>0</v>
      </c>
      <c r="I113" s="530">
        <f t="shared" si="20"/>
        <v>123.9</v>
      </c>
      <c r="J113" s="483">
        <f>+SUM(J111:J112)</f>
        <v>60</v>
      </c>
      <c r="K113" s="369"/>
      <c r="T113" s="138" t="str">
        <f>+IF($K$2="EN",Text!$B$47,Text!$C$47)</f>
        <v>Vietnam</v>
      </c>
      <c r="U113" s="183" vm="332">
        <f>+[3]Backup!$J$89</f>
        <v>402.47019999999998</v>
      </c>
      <c r="V113" s="357">
        <f t="shared" si="21"/>
        <v>0</v>
      </c>
      <c r="W113" s="120"/>
      <c r="X113" s="265" vm="299">
        <f>+[3]Backup!$F$89</f>
        <v>402.47019999999998</v>
      </c>
      <c r="Y113" s="264">
        <f t="shared" si="22"/>
        <v>0</v>
      </c>
    </row>
    <row r="114" spans="1:25" ht="18" customHeight="1" x14ac:dyDescent="0.25">
      <c r="A114" s="120">
        <f t="shared" si="16"/>
        <v>18</v>
      </c>
      <c r="C114" s="421" t="str">
        <f>+IF($K$2="EN",Text!$B$47,Text!$C$47)</f>
        <v>Vietnam</v>
      </c>
      <c r="D114" s="419"/>
      <c r="E114" s="419"/>
      <c r="F114" s="297">
        <f>SUMIFS(F$153:F$167,C$153:C$167,$C114)+SUMIFS(F$131:F$141,C$131:C$141,$C114)</f>
        <v>402.47019999999998</v>
      </c>
      <c r="G114" s="350">
        <f>SUMIFS(G$153:G$167,C$153:C$167,$C114)+SUMIFS(G$131:G$141,C$131:C$141,$C114)</f>
        <v>0</v>
      </c>
      <c r="H114" s="350">
        <f>SUMIFS(H$153:H$167,C$153:C$167,$C114)+SUMIFS(H$131:H$141,C$131:C$141,$C114)</f>
        <v>0</v>
      </c>
      <c r="I114" s="351">
        <f t="shared" si="20"/>
        <v>0</v>
      </c>
      <c r="J114" s="372">
        <f>SUMIFS(J$153:J$167,C$153:C$167,$C114)+SUMIFS(J$131:J$141,C$131:C$141,$C114)</f>
        <v>0</v>
      </c>
      <c r="K114" s="369"/>
      <c r="T114" s="138" t="str">
        <f>+IF($K$2="EN",Text!$B$48,Text!$C$48)</f>
        <v>Singapore</v>
      </c>
      <c r="U114" s="183" vm="343">
        <f>+[3]Backup!$J$90</f>
        <v>440.48570000000029</v>
      </c>
      <c r="V114" s="357">
        <f t="shared" si="21"/>
        <v>0</v>
      </c>
      <c r="W114" s="120"/>
      <c r="X114" s="265" vm="300">
        <f>+[3]Backup!$F$90</f>
        <v>362.66540000000003</v>
      </c>
      <c r="Y114" s="264">
        <f>ROUND(X114+I115-U114,1)</f>
        <v>0</v>
      </c>
    </row>
    <row r="115" spans="1:25" ht="18" customHeight="1" x14ac:dyDescent="0.25">
      <c r="A115" s="120">
        <f t="shared" si="16"/>
        <v>19</v>
      </c>
      <c r="C115" s="421" t="str">
        <f>+IF($K$2="EN",Text!$B$48,Text!$C$48)</f>
        <v>Singapore</v>
      </c>
      <c r="D115" s="419"/>
      <c r="E115" s="419"/>
      <c r="F115" s="297">
        <f>SUMIFS(F$153:F$167,C$153:C$167,$C115)+SUMIFS(F$131:F$141,C$131:C$141,$C115)</f>
        <v>440.48570000000029</v>
      </c>
      <c r="G115" s="350">
        <f>SUMIFS(G$153:G$167,C$153:C$167,$C115)+SUMIFS(G$131:G$141,C$131:C$141,$C115)</f>
        <v>86.442000000000007</v>
      </c>
      <c r="H115" s="350">
        <f>SUMIFS(H$153:H$167,C$153:C$167,$C115)+SUMIFS(H$131:H$141,C$131:C$141,$C115)</f>
        <v>-8.6216999999999988</v>
      </c>
      <c r="I115" s="351">
        <f t="shared" si="20"/>
        <v>77.820300000000003</v>
      </c>
      <c r="J115" s="372">
        <f>SUMIFS(J$153:J$167,C$153:C$167,$C115)+SUMIFS(J$131:J$141,C$131:C$141,$C115)</f>
        <v>12.923500000000001</v>
      </c>
      <c r="K115" s="369"/>
      <c r="T115" s="138" t="str">
        <f>+IF($K$2="EN",Text!$B$49,Text!$C$49)</f>
        <v>Rest of APAC</v>
      </c>
      <c r="U115" s="183">
        <f>+[3]Backup!$J$91</f>
        <v>302.86650000000003</v>
      </c>
      <c r="V115" s="357">
        <f t="shared" si="21"/>
        <v>0</v>
      </c>
      <c r="W115" s="120"/>
      <c r="X115" s="265">
        <f>+[3]Backup!$F$91</f>
        <v>256.66140000000007</v>
      </c>
      <c r="Y115" s="265">
        <f t="shared" si="22"/>
        <v>0</v>
      </c>
    </row>
    <row r="116" spans="1:25" ht="18" customHeight="1" x14ac:dyDescent="0.25">
      <c r="A116" s="120">
        <f t="shared" si="16"/>
        <v>20</v>
      </c>
      <c r="C116" s="421" t="str">
        <f>+IF($K$2="EN",Text!$B$49,Text!$C$49)</f>
        <v>Rest of APAC</v>
      </c>
      <c r="D116" s="419"/>
      <c r="E116" s="419"/>
      <c r="F116" s="297">
        <f>SUMIFS(F$153:F$167,C$153:C$167,$C116)+SUMIFS(F$131:F$141,C$131:C$141,$C116)</f>
        <v>302.86650000000003</v>
      </c>
      <c r="G116" s="350">
        <f>SUMIFS(G$153:G$167,C$153:C$167,$C116)+SUMIFS(G$131:G$141,C$131:C$141,$C116)</f>
        <v>53.137100000000004</v>
      </c>
      <c r="H116" s="350">
        <f>SUMIFS(H$153:H$167,C$153:C$167,$C116)+SUMIFS(H$131:H$141,C$131:C$141,$C116)</f>
        <v>-6.9320000000000004</v>
      </c>
      <c r="I116" s="351">
        <f t="shared" si="20"/>
        <v>46.205100000000002</v>
      </c>
      <c r="J116" s="372">
        <f>SUMIFS(J$153:J$167,C$153:C$167,$C116)+SUMIFS(J$131:J$141,C$131:C$141,$C116)</f>
        <v>21.142699999999998</v>
      </c>
      <c r="K116" s="369"/>
      <c r="T116" s="167" t="str">
        <f>+IF($K$2="EN",Text!$B$46,Text!$C$46)</f>
        <v>APAC</v>
      </c>
      <c r="U116" s="187" vm="335">
        <f>+[3]Backup!$J$88</f>
        <v>1145.8224</v>
      </c>
      <c r="V116" s="360">
        <f t="shared" si="21"/>
        <v>0</v>
      </c>
      <c r="W116" s="120"/>
      <c r="X116" s="332" vm="13">
        <f>+[3]Backup!$F$88</f>
        <v>1021.7970000000003</v>
      </c>
      <c r="Y116" s="338">
        <f t="shared" si="22"/>
        <v>0</v>
      </c>
    </row>
    <row r="117" spans="1:25" ht="18" customHeight="1" x14ac:dyDescent="0.25">
      <c r="A117" s="120">
        <f t="shared" si="16"/>
        <v>21</v>
      </c>
      <c r="C117" s="478" t="str">
        <f>+IF($K$2="EN",Text!$B$46,Text!$C$46)</f>
        <v>APAC</v>
      </c>
      <c r="D117" s="524"/>
      <c r="E117" s="524"/>
      <c r="F117" s="531">
        <f>+SUM(F114:F116)</f>
        <v>1145.8224000000002</v>
      </c>
      <c r="G117" s="532">
        <f>+SUM(G114:G116)</f>
        <v>139.57910000000001</v>
      </c>
      <c r="H117" s="529">
        <f>+SUM(H114:H116)</f>
        <v>-15.553699999999999</v>
      </c>
      <c r="I117" s="533">
        <f t="shared" si="20"/>
        <v>124.02540000000002</v>
      </c>
      <c r="J117" s="534">
        <f>+SUM(J114:J116)</f>
        <v>34.066199999999995</v>
      </c>
      <c r="K117" s="369"/>
      <c r="T117" s="196" t="str">
        <f>+IF($K$2="EN",Text!$B$55,Text!$C$55)</f>
        <v>EBITDA MW</v>
      </c>
      <c r="U117" s="197" vm="324">
        <f>+[3]Backup!$J$61</f>
        <v>18804.596199999942</v>
      </c>
      <c r="V117" s="197">
        <f t="shared" si="21"/>
        <v>-7.6397554948925972E-11</v>
      </c>
      <c r="W117" s="120"/>
      <c r="X117" s="197" vm="4">
        <f>+[3]Backup!$F$61</f>
        <v>17785.224199999942</v>
      </c>
      <c r="Y117" s="197">
        <f t="shared" si="22"/>
        <v>0</v>
      </c>
    </row>
    <row r="118" spans="1:25" ht="18" customHeight="1" x14ac:dyDescent="0.25">
      <c r="A118" s="120">
        <f t="shared" si="16"/>
        <v>22</v>
      </c>
      <c r="C118" s="535" t="str">
        <f>+IF($K$2="EN",Text!$B$55,Text!$C$55)</f>
        <v>EBITDA MW</v>
      </c>
      <c r="D118" s="535"/>
      <c r="E118" s="535"/>
      <c r="F118" s="536">
        <f>+F107+F110+F113+F117</f>
        <v>18804.596200000018</v>
      </c>
      <c r="G118" s="537">
        <f>+G107+G110+G113+G117</f>
        <v>1867.3926999999999</v>
      </c>
      <c r="H118" s="537">
        <f>+H107+H110+H113+H117</f>
        <v>-848.02069999999992</v>
      </c>
      <c r="I118" s="538">
        <f t="shared" si="20"/>
        <v>1019.372</v>
      </c>
      <c r="J118" s="488">
        <f>+J107+J110+J113+J117</f>
        <v>1273.7312000000002</v>
      </c>
      <c r="K118" s="125"/>
      <c r="T118" s="138" t="str">
        <f>+IF($K$2="EN",Text!$B$28,Text!$C$28)</f>
        <v>Spain</v>
      </c>
      <c r="U118" s="183" vm="352">
        <f>+[3]Backup!$J$114</f>
        <v>120.13</v>
      </c>
      <c r="V118" s="357">
        <f t="shared" si="21"/>
        <v>0</v>
      </c>
      <c r="W118" s="120"/>
      <c r="X118" s="265" vm="17">
        <f>+[3]Backup!$F$114</f>
        <v>120.13</v>
      </c>
      <c r="Y118" s="265">
        <f t="shared" si="22"/>
        <v>0</v>
      </c>
    </row>
    <row r="119" spans="1:25" ht="18" customHeight="1" x14ac:dyDescent="0.25">
      <c r="A119" s="120">
        <f t="shared" si="16"/>
        <v>23</v>
      </c>
      <c r="C119" s="421" t="str">
        <f>+IF($K$2="EN",Text!$B$28,Text!$C$28)</f>
        <v>Spain</v>
      </c>
      <c r="D119" s="419"/>
      <c r="E119" s="419"/>
      <c r="F119" s="297">
        <f>SUMIFS(F$168:F$171,C$168:C$171,$C119)+SUMIFS(F$142:F$147,C$142:C$147,$C119)+SUMIFS($F$177:$F$182,$C$177:$C$182,$C119)</f>
        <v>120.13</v>
      </c>
      <c r="G119" s="350">
        <f>G142</f>
        <v>0</v>
      </c>
      <c r="H119" s="350">
        <f>H142</f>
        <v>0</v>
      </c>
      <c r="I119" s="351">
        <f t="shared" si="20"/>
        <v>0</v>
      </c>
      <c r="J119" s="298">
        <f>SUMIFS(J$168:J$171,C$168:C$171,$C119)+SUMIFS(J$142:J$147,C$142:C$147,$C119)+SUMIFS($J$177:$J$182,$C$177:$C$182,$C119)</f>
        <v>0</v>
      </c>
      <c r="K119" s="369"/>
      <c r="T119" s="138" t="str">
        <f>+IF($K$2="EN",Text!$B$29,Text!$C$29)</f>
        <v>Portugal</v>
      </c>
      <c r="U119" s="183" vm="111">
        <f>+[3]Backup!$J$115</f>
        <v>28.011399999999995</v>
      </c>
      <c r="V119" s="357">
        <f t="shared" si="21"/>
        <v>0</v>
      </c>
      <c r="W119" s="120"/>
      <c r="X119" s="265" vm="296">
        <f>+[3]Backup!$F$115</f>
        <v>28.011399999999995</v>
      </c>
      <c r="Y119" s="265">
        <f t="shared" si="22"/>
        <v>0</v>
      </c>
    </row>
    <row r="120" spans="1:25" ht="18" customHeight="1" x14ac:dyDescent="0.25">
      <c r="A120" s="120">
        <f t="shared" si="16"/>
        <v>24</v>
      </c>
      <c r="C120" s="421" t="str">
        <f>+IF($K$2="EN",Text!$B$29,Text!$C$29)</f>
        <v>Portugal</v>
      </c>
      <c r="D120" s="419"/>
      <c r="E120" s="419"/>
      <c r="F120" s="297">
        <f>SUMIFS(F$168:F$171,C$168:C$171,$C120)+SUMIFS(F$142:F$147,C$142:C$147,$C120)+SUMIFS($F$177:$F$182,$C$177:$C$182,$C120)</f>
        <v>28.011399999999995</v>
      </c>
      <c r="G120" s="350">
        <f>G143+G177</f>
        <v>0</v>
      </c>
      <c r="H120" s="350">
        <f>H143+H177</f>
        <v>0</v>
      </c>
      <c r="I120" s="351">
        <f t="shared" si="20"/>
        <v>0</v>
      </c>
      <c r="J120" s="298">
        <f>SUMIFS(J$168:J$171,C$168:C$171,$C120)+SUMIFS(J$142:J$147,C$142:C$147,$C120)+SUMIFS($J$177:$J$182,$C$177:$C$182,$C120)</f>
        <v>0</v>
      </c>
      <c r="K120" s="369"/>
      <c r="T120" s="138" t="str">
        <f>+IF($K$2="EN",Text!$B$30,Text!$C$30)</f>
        <v>Rest of Europe</v>
      </c>
      <c r="U120" s="183">
        <f>[3]Backup!$J$116</f>
        <v>731.5625</v>
      </c>
      <c r="V120" s="357">
        <f t="shared" si="21"/>
        <v>0</v>
      </c>
      <c r="W120" s="120"/>
      <c r="X120" s="265">
        <f>[3]Backup!$F$116</f>
        <v>651.5625</v>
      </c>
      <c r="Y120" s="265">
        <f t="shared" si="22"/>
        <v>0</v>
      </c>
    </row>
    <row r="121" spans="1:25" ht="18" customHeight="1" x14ac:dyDescent="0.25">
      <c r="A121" s="120">
        <f t="shared" si="16"/>
        <v>25</v>
      </c>
      <c r="C121" s="421" t="str">
        <f>+IF($K$2="EN",Text!$B$30,Text!$C$30)</f>
        <v>Rest of Europe</v>
      </c>
      <c r="D121" s="419"/>
      <c r="E121" s="419"/>
      <c r="F121" s="297">
        <f>SUMIFS(F$168:F$171,C$168:C$171,$C121)+SUMIFS(F$142:F$147,C$142:C$147,$C121)+SUMIFS($F$177:$F$182,$C$177:$C$182,$C121)+SUM(F178:F179)</f>
        <v>731.5625</v>
      </c>
      <c r="G121" s="350">
        <f>G178+G179</f>
        <v>120.5</v>
      </c>
      <c r="H121" s="350">
        <f>H178+H179</f>
        <v>-40.5</v>
      </c>
      <c r="I121" s="351">
        <f t="shared" si="20"/>
        <v>80</v>
      </c>
      <c r="J121" s="298">
        <f>SUMIFS(J$168:J$171,C$168:C$171,$C121)+SUMIFS(J$142:J$147,C$142:C$147,$C121)+(J181-J177)</f>
        <v>374.64</v>
      </c>
      <c r="K121" s="369"/>
      <c r="L121" s="524" t="str">
        <f>+IF(EN!$K$2="EN",Text!$B$20,Text!$C$20)</f>
        <v>Technology</v>
      </c>
      <c r="M121" s="524"/>
      <c r="N121" s="524"/>
      <c r="O121" s="526"/>
      <c r="P121" s="527" t="s">
        <v>52</v>
      </c>
      <c r="Q121" s="493" t="s">
        <v>13</v>
      </c>
      <c r="T121" s="167" t="str">
        <f>+IF($K$2="EN",Text!$B$27,Text!$C$27)</f>
        <v>Europe</v>
      </c>
      <c r="U121" s="187">
        <f>+[3]Backup!$J$113</f>
        <v>879.70389999999998</v>
      </c>
      <c r="V121" s="360">
        <f t="shared" si="21"/>
        <v>0</v>
      </c>
      <c r="W121" s="120"/>
      <c r="X121" s="332">
        <f>+[3]Backup!$F$113</f>
        <v>799.70389999999998</v>
      </c>
      <c r="Y121" s="332">
        <f t="shared" si="22"/>
        <v>0</v>
      </c>
    </row>
    <row r="122" spans="1:25" ht="18" customHeight="1" x14ac:dyDescent="0.25">
      <c r="A122" s="120">
        <f t="shared" si="16"/>
        <v>26</v>
      </c>
      <c r="C122" s="475" t="str">
        <f>+IF($K$2="EN",Text!$B$27,Text!$C$27)</f>
        <v>Europe</v>
      </c>
      <c r="D122" s="515"/>
      <c r="E122" s="515"/>
      <c r="F122" s="528">
        <f>+SUM(F119:F121)</f>
        <v>879.70389999999998</v>
      </c>
      <c r="G122" s="529">
        <f>SUM(G119:G121)</f>
        <v>120.5</v>
      </c>
      <c r="H122" s="529">
        <f>SUM(H119:H121)</f>
        <v>-40.5</v>
      </c>
      <c r="I122" s="530">
        <f t="shared" si="20"/>
        <v>80</v>
      </c>
      <c r="J122" s="539">
        <f>SUM(J119:J121)</f>
        <v>374.64</v>
      </c>
      <c r="K122" s="369"/>
      <c r="L122" s="419" t="str">
        <f>+IF(EN!$K$2="EN",Text!$B$21,Text!$C$21)</f>
        <v>Onshore Wind</v>
      </c>
      <c r="M122" s="419"/>
      <c r="N122" s="419"/>
      <c r="O122" s="419"/>
      <c r="P122" s="446" vm="330">
        <f>Charts!C53</f>
        <v>13134.372000000001</v>
      </c>
      <c r="Q122" s="447">
        <f>+Charts!E53</f>
        <v>0.02</v>
      </c>
      <c r="T122" s="167" t="str">
        <f>+IF($K$2="EN",Text!$B$34,Text!$C$34)</f>
        <v>North America</v>
      </c>
      <c r="U122" s="187" vm="100">
        <f>+[3]Backup!$J$128</f>
        <v>700.74</v>
      </c>
      <c r="V122" s="360">
        <f>U122-F123</f>
        <v>0</v>
      </c>
      <c r="W122" s="120"/>
      <c r="X122" s="332" vm="19">
        <f>+[3]Backup!$F$128</f>
        <v>719.30250000000012</v>
      </c>
      <c r="Y122" s="332">
        <f>ROUND(X122+I123-U122,1)</f>
        <v>0</v>
      </c>
    </row>
    <row r="123" spans="1:25" ht="18" customHeight="1" x14ac:dyDescent="0.25">
      <c r="A123" s="120">
        <f t="shared" si="16"/>
        <v>27</v>
      </c>
      <c r="C123" s="475" t="str">
        <f>+IF($K$2="EN",Text!$B$34,Text!$C$34)</f>
        <v>North America</v>
      </c>
      <c r="D123" s="515"/>
      <c r="E123" s="515"/>
      <c r="F123" s="528">
        <f>SUMIFS(F$168:F$171,C$168:C$171,$C123)+SUMIFS(F$142:F$147,C$142:C$147,$C123)+SUMIFS($F$177:$F$182,$C$177:$C$182,$C123)</f>
        <v>700.74</v>
      </c>
      <c r="G123" s="529">
        <f>G145+G168</f>
        <v>-18.5625</v>
      </c>
      <c r="H123" s="529">
        <f>H145+H168</f>
        <v>0</v>
      </c>
      <c r="I123" s="530">
        <f>SUM(G123:H123)</f>
        <v>-18.5625</v>
      </c>
      <c r="J123" s="539">
        <f>SUMIFS(J$168:J$171,C$168:C$171,$C123)+SUMIFS(J$142:J$147,C$142:C$147,$C123)+SUMIFS($J$177:$J$182,$C$177:$C$182,$C123)</f>
        <v>0</v>
      </c>
      <c r="K123" s="369"/>
      <c r="L123" s="419" t="str">
        <f>+IF(EN!$K$2="EN",Text!$B$24,Text!$C$24)</f>
        <v>Solar Utility Scale</v>
      </c>
      <c r="M123" s="419"/>
      <c r="N123" s="419"/>
      <c r="O123" s="419"/>
      <c r="P123" s="446" vm="78">
        <f>Charts!C54</f>
        <v>4943.4261999999962</v>
      </c>
      <c r="Q123" s="447">
        <f>+Charts!E54</f>
        <v>0.06</v>
      </c>
      <c r="T123" s="167" t="str">
        <f>+IF($K$2="EN",Text!$B$46,Text!$C$46)</f>
        <v>APAC</v>
      </c>
      <c r="U123" s="187" vm="104">
        <f>+[3]Backup!$J$138</f>
        <v>5.9178999999999995</v>
      </c>
      <c r="V123" s="360">
        <f>U123-F124</f>
        <v>0</v>
      </c>
      <c r="W123" s="120"/>
      <c r="X123" s="332" vm="297">
        <f>+[3]Backup!$F$138</f>
        <v>11.161799999999999</v>
      </c>
      <c r="Y123" s="332">
        <f>ROUND(X123+I124-U123,1)</f>
        <v>0</v>
      </c>
    </row>
    <row r="124" spans="1:25" ht="18" customHeight="1" x14ac:dyDescent="0.25">
      <c r="A124" s="120">
        <f t="shared" si="16"/>
        <v>28</v>
      </c>
      <c r="C124" s="478" t="str">
        <f>+IF($K$2="EN",Text!$B$46,Text!$C$46)</f>
        <v>APAC</v>
      </c>
      <c r="D124" s="524"/>
      <c r="E124" s="524"/>
      <c r="F124" s="531">
        <f>SUMIFS(F$168:F$171,C$168:C$171,$C124)+SUMIFS(F$142:F$147,C$142:C$147,$C124)+SUMIFS($F$177:$F$182,$C$177:$C$182,$C124)</f>
        <v>5.9178999999999995</v>
      </c>
      <c r="G124" s="532">
        <f>+G170</f>
        <v>0</v>
      </c>
      <c r="H124" s="529">
        <f>+H170</f>
        <v>-5.2436999999999996</v>
      </c>
      <c r="I124" s="533">
        <f>SUM(G124:H124)</f>
        <v>-5.2436999999999996</v>
      </c>
      <c r="J124" s="540">
        <f>SUMIFS(J$168:J$171,C$168:C$171,$C124)+SUMIFS(J$142:J$147,C$142:C$147,$C124)+SUMIFS($J$177:$J$182,$C$177:$C$182,$C124)</f>
        <v>0</v>
      </c>
      <c r="K124" s="369"/>
      <c r="L124" s="419" t="str">
        <f>+IF(EN!$K$2="EN",Text!$B$25,Text!$C$25)</f>
        <v>Solar DG</v>
      </c>
      <c r="M124" s="419"/>
      <c r="N124" s="419"/>
      <c r="O124" s="419"/>
      <c r="P124" s="446" vm="325">
        <f>+Charts!C56</f>
        <v>1023.3308000000003</v>
      </c>
      <c r="Q124" s="447">
        <f>+Charts!E56</f>
        <v>0.14000000000000001</v>
      </c>
      <c r="T124" s="196" t="str">
        <f>+IF($K$2="EN",Text!$B$56,Text!$C$56)</f>
        <v>Eq. Consolidated</v>
      </c>
      <c r="U124" s="197" vm="103">
        <f>+[3]Backup!$J$111</f>
        <v>1586.3617999999999</v>
      </c>
      <c r="V124" s="197">
        <f>U124-F125</f>
        <v>0</v>
      </c>
      <c r="W124" s="120"/>
      <c r="X124" s="197" vm="4">
        <f>+[3]Backup!$F$111</f>
        <v>1530.1682000000001</v>
      </c>
      <c r="Y124" s="197">
        <f>ROUND(X124+I125-U124,1)</f>
        <v>0</v>
      </c>
    </row>
    <row r="125" spans="1:25" ht="18" customHeight="1" x14ac:dyDescent="0.25">
      <c r="A125" s="120">
        <f t="shared" si="16"/>
        <v>29</v>
      </c>
      <c r="C125" s="535" t="str">
        <f>+IF($K$2="EN",Text!$B$56,Text!$C$56)</f>
        <v>Eq. Consolidated</v>
      </c>
      <c r="D125" s="535"/>
      <c r="E125" s="535"/>
      <c r="F125" s="536">
        <f>+F122+F123+F124</f>
        <v>1586.3617999999999</v>
      </c>
      <c r="G125" s="537">
        <f>+G122+G123+G124</f>
        <v>101.9375</v>
      </c>
      <c r="H125" s="537">
        <f>+H122+H123+H124</f>
        <v>-45.743699999999997</v>
      </c>
      <c r="I125" s="538">
        <f>SUM(G125:H125)</f>
        <v>56.193800000000003</v>
      </c>
      <c r="J125" s="541">
        <f>J122+J123+J124</f>
        <v>374.64</v>
      </c>
      <c r="K125" s="369"/>
      <c r="L125" s="419" t="str">
        <f>+IF(EN!$K$2="EN",Text!$B$23,Text!$C$23)</f>
        <v>Offshore Wind</v>
      </c>
      <c r="M125" s="419"/>
      <c r="N125" s="419"/>
      <c r="O125" s="419"/>
      <c r="P125" s="446" vm="326">
        <f>+Charts!C55</f>
        <v>739.77390000000003</v>
      </c>
      <c r="Q125" s="447">
        <f>+Charts!E55</f>
        <v>0.12</v>
      </c>
      <c r="T125" s="200" t="s">
        <v>32</v>
      </c>
      <c r="U125" s="197" vm="167">
        <f>+[3]Backup!$J$11</f>
        <v>20390.957900000019</v>
      </c>
      <c r="V125" s="197">
        <f>ROUND(U125,2)-ROUND(F126,2)</f>
        <v>0</v>
      </c>
      <c r="W125" s="120"/>
      <c r="X125" s="197" vm="5">
        <f>+[3]Backup!$F$11</f>
        <v>19315.39219999998</v>
      </c>
      <c r="Y125" s="197">
        <f>ROUND(X125+I126-U125,1)</f>
        <v>0</v>
      </c>
    </row>
    <row r="126" spans="1:25" ht="18" customHeight="1" x14ac:dyDescent="0.25">
      <c r="A126" s="120">
        <f t="shared" si="16"/>
        <v>30</v>
      </c>
      <c r="C126" s="480" t="str">
        <f>C37</f>
        <v>EDPR</v>
      </c>
      <c r="D126" s="480"/>
      <c r="E126" s="480"/>
      <c r="F126" s="536">
        <f>+F118+F125</f>
        <v>20390.958000000017</v>
      </c>
      <c r="G126" s="537">
        <f>+G118+G125</f>
        <v>1969.3301999999999</v>
      </c>
      <c r="H126" s="537">
        <f>+H118+H125</f>
        <v>-893.76439999999991</v>
      </c>
      <c r="I126" s="538">
        <f>SUM(G126:H126)</f>
        <v>1075.5657999999999</v>
      </c>
      <c r="J126" s="541">
        <f>J118+J125</f>
        <v>1648.3712</v>
      </c>
      <c r="K126" s="369"/>
      <c r="L126" s="419" t="str">
        <f>+IF(EN!$K$2="EN",Text!$B$26,Text!$C$26)</f>
        <v>BESS</v>
      </c>
      <c r="M126" s="419"/>
      <c r="N126" s="419"/>
      <c r="O126" s="419"/>
      <c r="P126" s="446" vm="119">
        <f>+Charts!C57</f>
        <v>550.05499999999995</v>
      </c>
      <c r="Q126" s="447">
        <f>+Charts!E57</f>
        <v>1.66</v>
      </c>
    </row>
    <row r="127" spans="1:25" ht="18" customHeight="1" x14ac:dyDescent="0.25">
      <c r="A127" s="120">
        <f t="shared" si="16"/>
        <v>31</v>
      </c>
      <c r="K127" s="369"/>
      <c r="U127" s="366"/>
      <c r="V127"/>
      <c r="W127"/>
      <c r="X127"/>
      <c r="Y127"/>
    </row>
    <row r="128" spans="1:25" ht="18" customHeight="1" thickBot="1" x14ac:dyDescent="0.55000000000000004">
      <c r="A128" s="120">
        <f t="shared" si="16"/>
        <v>32</v>
      </c>
      <c r="C128" s="477" t="str">
        <f>+IF($K$2="EN",Text!$B$21,Text!$C$21)</f>
        <v>Onshore Wind</v>
      </c>
      <c r="D128" s="135"/>
      <c r="E128" s="135"/>
      <c r="F128" s="135"/>
      <c r="G128" s="352"/>
      <c r="H128" s="352"/>
      <c r="I128" s="352"/>
      <c r="J128" s="467"/>
      <c r="L128" s="471" t="str">
        <f>+IF($K$2="EN",Text!$B$15,Text!$C$15)</f>
        <v>Capacity Additions YTD</v>
      </c>
      <c r="M128" s="201"/>
      <c r="N128" s="201"/>
      <c r="O128" s="201"/>
      <c r="P128" s="201"/>
      <c r="Q128" s="201"/>
      <c r="S128" s="369">
        <f>+J126+9</f>
        <v>1657.3712</v>
      </c>
      <c r="T128" s="366"/>
      <c r="U128" s="366"/>
      <c r="V128"/>
      <c r="W128"/>
      <c r="X128"/>
      <c r="Y128"/>
    </row>
    <row r="129" spans="1:26" ht="18" customHeight="1" x14ac:dyDescent="0.25">
      <c r="A129" s="120">
        <f t="shared" si="16"/>
        <v>33</v>
      </c>
      <c r="G129" s="353"/>
      <c r="H129" s="481">
        <f>H102</f>
        <v>2025</v>
      </c>
      <c r="I129" s="353"/>
      <c r="P129" s="122"/>
      <c r="Q129" s="122"/>
      <c r="T129" s="366"/>
      <c r="U129" s="366"/>
      <c r="V129"/>
      <c r="W129"/>
      <c r="X129"/>
      <c r="Y129"/>
    </row>
    <row r="130" spans="1:26" ht="18" customHeight="1" x14ac:dyDescent="0.25">
      <c r="A130" s="120">
        <f t="shared" si="16"/>
        <v>34</v>
      </c>
      <c r="C130" s="524" t="s">
        <v>9</v>
      </c>
      <c r="D130" s="474"/>
      <c r="E130" s="474"/>
      <c r="F130" s="492">
        <f>+Cur_Period</f>
        <v>2025</v>
      </c>
      <c r="G130" s="481" t="str">
        <f>+IF($K$2="EN",Text!$B$61,Text!$C$61)</f>
        <v>Additions</v>
      </c>
      <c r="H130" s="481" t="str">
        <f>+IF($K$2="EN",Text!$B$62,Text!$C$62)</f>
        <v>AR/Decom.</v>
      </c>
      <c r="I130" s="481" t="s">
        <v>8</v>
      </c>
      <c r="J130" s="481" t="str">
        <f>+IF($K$2="EN",Text!$B$63,Text!$C$63)</f>
        <v>U/C</v>
      </c>
      <c r="L130" s="524" t="str">
        <f>+IF($K$2="EN",Text!$B$53,Text!$C$53)</f>
        <v>Project</v>
      </c>
      <c r="M130" s="524"/>
      <c r="N130" s="524"/>
      <c r="O130" s="526" t="str">
        <f>+IF($K$2="EN",Text!$B$54,Text!$C$54)</f>
        <v>Country</v>
      </c>
      <c r="P130" s="481"/>
      <c r="Q130" s="481" t="s">
        <v>9</v>
      </c>
      <c r="S130" s="202"/>
      <c r="T130" s="366"/>
      <c r="U130" s="366"/>
      <c r="V130"/>
      <c r="W130"/>
      <c r="X130"/>
      <c r="Y130"/>
    </row>
    <row r="131" spans="1:26" ht="18" customHeight="1" x14ac:dyDescent="0.25">
      <c r="A131" s="120">
        <f t="shared" si="16"/>
        <v>35</v>
      </c>
      <c r="C131" s="421" t="str">
        <f>+IF($K$2="EN",Text!$B$28,Text!$C$28)</f>
        <v>Spain</v>
      </c>
      <c r="D131" s="419"/>
      <c r="E131" s="419"/>
      <c r="F131" s="297" vm="63">
        <f>+[3]Backup!$J$164</f>
        <v>1986.7200000000003</v>
      </c>
      <c r="G131" s="350">
        <f>+'[2]Inst Capacity YTD Breakdown'!J6</f>
        <v>0</v>
      </c>
      <c r="H131" s="350">
        <f>+'[2]Inst Capacity YTD Breakdown'!K6</f>
        <v>0</v>
      </c>
      <c r="I131" s="351">
        <f t="shared" ref="I131:I148" si="23">SUM(G131:H131)</f>
        <v>0</v>
      </c>
      <c r="J131" s="298" vm="317">
        <f>+[3]Backup!$J$427</f>
        <v>173.7</v>
      </c>
      <c r="K131" s="369"/>
      <c r="L131" s="419" t="str">
        <f>+'[2]YTD Additions by Project'!C7</f>
        <v>Valle Verde</v>
      </c>
      <c r="M131" s="419"/>
      <c r="N131" s="419"/>
      <c r="O131" s="419" t="str">
        <f>+'[2]YTD Additions by Project'!D7</f>
        <v>Italy</v>
      </c>
      <c r="P131" s="419"/>
      <c r="Q131" s="327">
        <f>+'[2]YTD Additions by Project'!F7</f>
        <v>63</v>
      </c>
      <c r="S131" s="133"/>
      <c r="T131" s="292"/>
      <c r="U131" s="366"/>
      <c r="V131"/>
      <c r="W131"/>
      <c r="X131"/>
      <c r="Y131"/>
    </row>
    <row r="132" spans="1:26" ht="18" customHeight="1" x14ac:dyDescent="0.25">
      <c r="A132" s="120">
        <f t="shared" si="16"/>
        <v>36</v>
      </c>
      <c r="C132" s="421" t="str">
        <f>+IF($K$2="EN",Text!$B$29,Text!$C$29)</f>
        <v>Portugal</v>
      </c>
      <c r="D132" s="419"/>
      <c r="E132" s="419"/>
      <c r="F132" s="297" vm="79">
        <f>+[3]Backup!$J$165</f>
        <v>1177.17</v>
      </c>
      <c r="G132" s="350">
        <f>+'[2]Inst Capacity YTD Breakdown'!J7</f>
        <v>0</v>
      </c>
      <c r="H132" s="350">
        <f>+'[2]Inst Capacity YTD Breakdown'!K7</f>
        <v>0</v>
      </c>
      <c r="I132" s="351">
        <f t="shared" si="23"/>
        <v>0</v>
      </c>
      <c r="J132" s="298">
        <f>+[3]Backup!$J$428</f>
        <v>0</v>
      </c>
      <c r="K132" s="369"/>
      <c r="L132" s="419" t="str">
        <f>+'[2]YTD Additions by Project'!C8</f>
        <v>Rosamarina</v>
      </c>
      <c r="M132" s="419"/>
      <c r="N132" s="419"/>
      <c r="O132" s="419" t="str">
        <f>+'[2]YTD Additions by Project'!D8</f>
        <v>Italy</v>
      </c>
      <c r="P132" s="419"/>
      <c r="Q132" s="327">
        <f>+'[2]YTD Additions by Project'!F8</f>
        <v>43.4</v>
      </c>
      <c r="R132" s="208"/>
      <c r="S132" s="133"/>
      <c r="T132" s="366"/>
      <c r="U132" s="366"/>
      <c r="V132"/>
      <c r="W132"/>
      <c r="X132"/>
      <c r="Y132"/>
    </row>
    <row r="133" spans="1:26" ht="18" customHeight="1" x14ac:dyDescent="0.25">
      <c r="A133" s="120">
        <f t="shared" si="16"/>
        <v>37</v>
      </c>
      <c r="C133" s="421" t="str">
        <f>+IF($K$2="EN",Text!$B$30,Text!$C$30)</f>
        <v>Rest of Europe</v>
      </c>
      <c r="D133" s="419"/>
      <c r="E133" s="419"/>
      <c r="F133" s="297">
        <f>+[3]Backup!$J$166</f>
        <v>1619.2999999999997</v>
      </c>
      <c r="G133" s="350">
        <f>+SUM('[2]Inst Capacity YTD Breakdown'!J8:J17)</f>
        <v>182.5</v>
      </c>
      <c r="H133" s="350">
        <f>+SUM('[2]Inst Capacity YTD Breakdown'!K8:K17)</f>
        <v>-270.82499999999999</v>
      </c>
      <c r="I133" s="351">
        <f t="shared" si="23"/>
        <v>-88.324999999999989</v>
      </c>
      <c r="J133" s="298">
        <f>+[3]Backup!$J$429</f>
        <v>64.8</v>
      </c>
      <c r="K133" s="369"/>
      <c r="L133" s="419" t="str">
        <f>+'[2]YTD Additions by Project'!C9</f>
        <v>Plémet</v>
      </c>
      <c r="M133" s="419"/>
      <c r="N133" s="419"/>
      <c r="O133" s="419" t="str">
        <f>+'[2]YTD Additions by Project'!D9</f>
        <v>France</v>
      </c>
      <c r="P133" s="419"/>
      <c r="Q133" s="327">
        <f>+'[2]YTD Additions by Project'!F9</f>
        <v>11</v>
      </c>
      <c r="S133" s="204"/>
      <c r="T133" s="366"/>
      <c r="U133" s="366"/>
      <c r="V133"/>
      <c r="W133"/>
      <c r="X133"/>
      <c r="Y133"/>
    </row>
    <row r="134" spans="1:26" ht="18" customHeight="1" x14ac:dyDescent="0.25">
      <c r="A134" s="120">
        <f t="shared" si="16"/>
        <v>38</v>
      </c>
      <c r="C134" s="475" t="str">
        <f>+IF($K$2="EN",Text!$B$27,Text!$C$27)</f>
        <v>Europe</v>
      </c>
      <c r="D134" s="515"/>
      <c r="E134" s="515"/>
      <c r="F134" s="528" vm="358">
        <f>+[3]Backup!$J$163</f>
        <v>4783.1900000000005</v>
      </c>
      <c r="G134" s="529">
        <f>+SUM(G131:G133)</f>
        <v>182.5</v>
      </c>
      <c r="H134" s="529">
        <f>+SUM(H131:H133)</f>
        <v>-270.82499999999999</v>
      </c>
      <c r="I134" s="530">
        <f t="shared" si="23"/>
        <v>-88.324999999999989</v>
      </c>
      <c r="J134" s="539">
        <f>+SUM(J131:J133)</f>
        <v>238.5</v>
      </c>
      <c r="K134" s="369"/>
      <c r="L134" s="419" t="str">
        <f>+'[2]YTD Additions by Project'!C10</f>
        <v>Saint-Bon</v>
      </c>
      <c r="M134" s="419"/>
      <c r="N134" s="419"/>
      <c r="O134" s="419" t="str">
        <f>+'[2]YTD Additions by Project'!D10</f>
        <v>France</v>
      </c>
      <c r="P134" s="419"/>
      <c r="Q134" s="327">
        <f>+'[2]YTD Additions by Project'!F10</f>
        <v>12.6</v>
      </c>
      <c r="S134" s="133"/>
      <c r="T134" s="366"/>
      <c r="U134" s="366"/>
      <c r="V134"/>
      <c r="W134"/>
      <c r="X134"/>
      <c r="Y134"/>
    </row>
    <row r="135" spans="1:26" ht="18" customHeight="1" x14ac:dyDescent="0.25">
      <c r="A135" s="120">
        <f t="shared" si="16"/>
        <v>39</v>
      </c>
      <c r="C135" s="421" t="str">
        <f>+IF($K$2="EN",Text!$B$35,Text!$C$35)</f>
        <v>US</v>
      </c>
      <c r="D135" s="419"/>
      <c r="E135" s="419"/>
      <c r="F135" s="297" vm="334">
        <f>+[3]Backup!$J$179</f>
        <v>6176.8320000000003</v>
      </c>
      <c r="G135" s="350">
        <f>+'[2]Inst Capacity YTD Breakdown'!J19</f>
        <v>269.85000000000002</v>
      </c>
      <c r="H135" s="350">
        <f>+'[2]Inst Capacity YTD Breakdown'!K19</f>
        <v>-31.080000000000002</v>
      </c>
      <c r="I135" s="351">
        <f t="shared" si="23"/>
        <v>238.77</v>
      </c>
      <c r="J135" s="298">
        <f>+[3]Backup!$J$442</f>
        <v>0</v>
      </c>
      <c r="K135" s="369"/>
      <c r="L135" s="419" t="str">
        <f>+'[2]YTD Additions by Project'!C11</f>
        <v>Wanchy-Capval Londiniéres</v>
      </c>
      <c r="M135" s="419"/>
      <c r="N135" s="419"/>
      <c r="O135" s="419" t="str">
        <f>+'[2]YTD Additions by Project'!D11</f>
        <v>France</v>
      </c>
      <c r="P135" s="419"/>
      <c r="Q135" s="327">
        <f>+'[2]YTD Additions by Project'!F11</f>
        <v>29.4</v>
      </c>
      <c r="R135" s="208"/>
      <c r="S135" s="133"/>
      <c r="T135"/>
      <c r="U135"/>
      <c r="V135"/>
      <c r="W135"/>
      <c r="X135"/>
      <c r="Y135"/>
    </row>
    <row r="136" spans="1:26" ht="18" customHeight="1" x14ac:dyDescent="0.25">
      <c r="A136" s="120">
        <f t="shared" si="16"/>
        <v>40</v>
      </c>
      <c r="C136" s="421" t="str">
        <f>+IF($K$2="EN",Text!$B$38,Text!$C$38)</f>
        <v>Canada &amp; Mexico</v>
      </c>
      <c r="D136" s="419"/>
      <c r="E136" s="419"/>
      <c r="F136" s="297">
        <f>+[3]Backup!$J$180+[3]Backup!$J$181</f>
        <v>425.26</v>
      </c>
      <c r="G136" s="350">
        <f>+SUM('[2]Inst Capacity YTD Breakdown'!J20:J21)</f>
        <v>0</v>
      </c>
      <c r="H136" s="350">
        <f>+SUM('[2]Inst Capacity YTD Breakdown'!K20:K21)</f>
        <v>0</v>
      </c>
      <c r="I136" s="351">
        <f t="shared" si="23"/>
        <v>0</v>
      </c>
      <c r="J136" s="298">
        <f>+[3]Backup!$J$443+[3]Backup!$J$444</f>
        <v>0</v>
      </c>
      <c r="K136" s="369"/>
      <c r="L136" s="419" t="str">
        <f>+'[2]YTD Additions by Project'!C12</f>
        <v>Kadmeios</v>
      </c>
      <c r="M136" s="419"/>
      <c r="N136" s="419"/>
      <c r="O136" s="419" t="str">
        <f>+'[2]YTD Additions by Project'!D12</f>
        <v>Greece</v>
      </c>
      <c r="P136" s="419"/>
      <c r="Q136" s="327">
        <f>+'[2]YTD Additions by Project'!F12</f>
        <v>23.1</v>
      </c>
      <c r="S136" s="133"/>
      <c r="T136"/>
      <c r="U136"/>
      <c r="V136"/>
      <c r="W136"/>
      <c r="X136"/>
      <c r="Y136"/>
    </row>
    <row r="137" spans="1:26" ht="18" customHeight="1" x14ac:dyDescent="0.25">
      <c r="A137" s="120">
        <f t="shared" si="16"/>
        <v>41</v>
      </c>
      <c r="C137" s="475" t="str">
        <f>+IF($K$2="EN",Text!$B$34,Text!$C$34)</f>
        <v>North America</v>
      </c>
      <c r="D137" s="515"/>
      <c r="E137" s="515"/>
      <c r="F137" s="528" vm="337">
        <f>+[3]Backup!$J$178</f>
        <v>6602.0919999999996</v>
      </c>
      <c r="G137" s="529">
        <f>+SUM(G135:G136)</f>
        <v>269.85000000000002</v>
      </c>
      <c r="H137" s="529">
        <f>+SUM(H135:H136)</f>
        <v>-31.080000000000002</v>
      </c>
      <c r="I137" s="530">
        <f t="shared" si="23"/>
        <v>238.77</v>
      </c>
      <c r="J137" s="539">
        <f>+SUM(J135:J136)</f>
        <v>0</v>
      </c>
      <c r="K137" s="369"/>
      <c r="L137" s="419" t="str">
        <f>+'[2]YTD Additions by Project'!C13</f>
        <v>Blue Canyon I</v>
      </c>
      <c r="M137" s="419"/>
      <c r="N137" s="419"/>
      <c r="O137" s="419" t="str">
        <f>+'[2]YTD Additions by Project'!D13</f>
        <v>US</v>
      </c>
      <c r="P137" s="419"/>
      <c r="Q137" s="327">
        <f>+'[2]YTD Additions by Project'!F13</f>
        <v>74.25</v>
      </c>
      <c r="S137" s="133"/>
      <c r="T137"/>
      <c r="U137"/>
      <c r="V137"/>
      <c r="W137"/>
      <c r="X137"/>
      <c r="Y137"/>
    </row>
    <row r="138" spans="1:26" ht="18" customHeight="1" x14ac:dyDescent="0.25">
      <c r="A138" s="120">
        <f t="shared" si="16"/>
        <v>42</v>
      </c>
      <c r="C138" s="421" t="str">
        <f>+IF($K$2="EN",Text!$B$41,Text!$C$41)</f>
        <v>Brazil</v>
      </c>
      <c r="D138" s="419"/>
      <c r="E138" s="419"/>
      <c r="F138" s="297" vm="354">
        <f>+[3]Backup!$J$184</f>
        <v>1072.8000000000002</v>
      </c>
      <c r="G138" s="350">
        <f>+'[2]Inst Capacity YTD Breakdown'!J23</f>
        <v>123.9</v>
      </c>
      <c r="H138" s="350">
        <f>+'[2]Inst Capacity YTD Breakdown'!K23</f>
        <v>0</v>
      </c>
      <c r="I138" s="351">
        <f t="shared" si="23"/>
        <v>123.9</v>
      </c>
      <c r="J138" s="298">
        <f>+[3]Backup!$J$447</f>
        <v>0</v>
      </c>
      <c r="K138" s="369"/>
      <c r="L138" s="419" t="str">
        <f>+'[2]YTD Additions by Project'!C14</f>
        <v>Carpenter</v>
      </c>
      <c r="M138" s="419"/>
      <c r="N138" s="419"/>
      <c r="O138" s="419" t="str">
        <f>+'[2]YTD Additions by Project'!D14</f>
        <v>US</v>
      </c>
      <c r="P138" s="419"/>
      <c r="Q138" s="327">
        <f>+'[2]YTD Additions by Project'!F14</f>
        <v>195.6</v>
      </c>
      <c r="S138" s="133"/>
      <c r="T138"/>
      <c r="U138"/>
      <c r="V138"/>
      <c r="W138"/>
      <c r="X138"/>
      <c r="Y138"/>
    </row>
    <row r="139" spans="1:26" ht="18" customHeight="1" x14ac:dyDescent="0.25">
      <c r="A139" s="120">
        <f t="shared" si="16"/>
        <v>43</v>
      </c>
      <c r="C139" s="421" t="str">
        <f>+IF($K$2="EN",Text!$B$44,Text!$C$44)</f>
        <v>Chile</v>
      </c>
      <c r="D139" s="419"/>
      <c r="E139" s="419"/>
      <c r="F139" s="297">
        <f>+[3]Backup!$J$185+[3]Backup!$J$186</f>
        <v>82.6</v>
      </c>
      <c r="G139" s="350">
        <f>+SUM('[2]Inst Capacity YTD Breakdown'!J24:J25)</f>
        <v>0</v>
      </c>
      <c r="H139" s="350">
        <f>+SUM('[2]Inst Capacity YTD Breakdown'!K24:K25)</f>
        <v>0</v>
      </c>
      <c r="I139" s="351">
        <f t="shared" si="23"/>
        <v>0</v>
      </c>
      <c r="J139" s="298">
        <f>+[3]Backup!$J$449</f>
        <v>0</v>
      </c>
      <c r="K139" s="369"/>
      <c r="L139" s="419" t="str">
        <f>+'[2]YTD Additions by Project'!C15</f>
        <v>Serra da Borborema I-IV</v>
      </c>
      <c r="M139" s="419"/>
      <c r="N139" s="419"/>
      <c r="O139" s="419" t="str">
        <f>+'[2]YTD Additions by Project'!D15</f>
        <v>Brazil</v>
      </c>
      <c r="P139" s="419"/>
      <c r="Q139" s="327">
        <f>+'[2]YTD Additions by Project'!F15</f>
        <v>123.9</v>
      </c>
      <c r="S139" s="133"/>
      <c r="T139"/>
      <c r="U139"/>
      <c r="V139"/>
      <c r="W139"/>
      <c r="X139"/>
      <c r="Y139"/>
      <c r="Z139"/>
    </row>
    <row r="140" spans="1:26" ht="18" customHeight="1" x14ac:dyDescent="0.25">
      <c r="A140" s="120">
        <f t="shared" si="16"/>
        <v>44</v>
      </c>
      <c r="C140" s="478" t="str">
        <f>+IF($K$2="EN",Text!$B$40,Text!$C$40)</f>
        <v>South America</v>
      </c>
      <c r="D140" s="524"/>
      <c r="E140" s="524"/>
      <c r="F140" s="531" vm="122">
        <f>+[3]Backup!$J$183</f>
        <v>1155.4000000000003</v>
      </c>
      <c r="G140" s="532">
        <f>+SUM(G138:G139)</f>
        <v>123.9</v>
      </c>
      <c r="H140" s="532">
        <f>+SUM(H138:H139)</f>
        <v>0</v>
      </c>
      <c r="I140" s="533">
        <f t="shared" si="23"/>
        <v>123.9</v>
      </c>
      <c r="J140" s="540">
        <f>+SUM(J138:J139)</f>
        <v>0</v>
      </c>
      <c r="K140" s="369"/>
      <c r="L140" s="419"/>
      <c r="M140" s="419"/>
      <c r="N140" s="419"/>
      <c r="O140" s="419"/>
      <c r="P140" s="419"/>
      <c r="Q140" s="419"/>
      <c r="S140" s="205"/>
      <c r="T140"/>
      <c r="U140"/>
      <c r="V140"/>
      <c r="W140"/>
      <c r="X140"/>
      <c r="Y140"/>
      <c r="Z140"/>
    </row>
    <row r="141" spans="1:26" ht="18" customHeight="1" x14ac:dyDescent="0.25">
      <c r="A141" s="120">
        <f t="shared" si="16"/>
        <v>45</v>
      </c>
      <c r="C141" s="535" t="str">
        <f>+IF($K$2="EN",Text!$B$55,Text!$C$55)</f>
        <v>EBITDA MW</v>
      </c>
      <c r="D141" s="535"/>
      <c r="E141" s="535"/>
      <c r="F141" s="536" vm="109">
        <f>+[3]Backup!$J$161</f>
        <v>12540.682000000001</v>
      </c>
      <c r="G141" s="537">
        <f>+G134+G137+G140</f>
        <v>576.25</v>
      </c>
      <c r="H141" s="537">
        <f>+H134+H137+H140</f>
        <v>-301.90499999999997</v>
      </c>
      <c r="I141" s="538">
        <f t="shared" si="23"/>
        <v>274.34500000000003</v>
      </c>
      <c r="J141" s="541">
        <f>+J140+J137+J134</f>
        <v>238.5</v>
      </c>
      <c r="K141" s="369"/>
      <c r="L141" s="419"/>
      <c r="M141" s="419"/>
      <c r="N141" s="419"/>
      <c r="O141" s="419"/>
      <c r="P141" s="419"/>
      <c r="Q141" s="419"/>
      <c r="T141"/>
      <c r="U141"/>
      <c r="V141"/>
      <c r="W141"/>
      <c r="X141"/>
      <c r="Y141"/>
      <c r="Z141"/>
    </row>
    <row r="142" spans="1:26" ht="18" customHeight="1" x14ac:dyDescent="0.25">
      <c r="A142" s="120">
        <f t="shared" si="16"/>
        <v>46</v>
      </c>
      <c r="C142" s="421" t="str">
        <f>+IF($K$2="EN",Text!$B$28,Text!$C$28)</f>
        <v>Spain</v>
      </c>
      <c r="D142" s="419"/>
      <c r="E142" s="419"/>
      <c r="F142" s="297" vm="345">
        <f>+[3]Backup!$J$248</f>
        <v>120.13</v>
      </c>
      <c r="G142" s="350">
        <f>+'[2]Inst Capacity YTD Breakdown'!J33</f>
        <v>0</v>
      </c>
      <c r="H142" s="350">
        <f>+'[2]Inst Capacity YTD Breakdown'!K33</f>
        <v>0</v>
      </c>
      <c r="I142" s="351">
        <f t="shared" si="23"/>
        <v>0</v>
      </c>
      <c r="J142" s="298">
        <v>0</v>
      </c>
      <c r="K142" s="369"/>
      <c r="L142" s="419"/>
      <c r="M142" s="419"/>
      <c r="N142" s="419"/>
      <c r="O142" s="419"/>
      <c r="P142" s="419"/>
      <c r="Q142" s="419"/>
      <c r="T142" s="310"/>
      <c r="U142"/>
      <c r="V142"/>
      <c r="W142"/>
      <c r="X142"/>
      <c r="Y142"/>
      <c r="Z142"/>
    </row>
    <row r="143" spans="1:26" ht="18" customHeight="1" x14ac:dyDescent="0.25">
      <c r="A143" s="120">
        <f t="shared" si="16"/>
        <v>47</v>
      </c>
      <c r="C143" s="421" t="str">
        <f>+IF($K$2="EN",Text!$B$29,Text!$C$29)</f>
        <v>Portugal</v>
      </c>
      <c r="D143" s="419"/>
      <c r="E143" s="419"/>
      <c r="F143" s="297" vm="113">
        <f>+[3]Backup!$J$249</f>
        <v>19.799999999999997</v>
      </c>
      <c r="G143" s="350">
        <f>+'[2]Inst Capacity YTD Breakdown'!J34</f>
        <v>0</v>
      </c>
      <c r="H143" s="350">
        <f>+'[2]Inst Capacity YTD Breakdown'!K34</f>
        <v>0</v>
      </c>
      <c r="I143" s="351">
        <f t="shared" si="23"/>
        <v>0</v>
      </c>
      <c r="J143" s="298">
        <v>0</v>
      </c>
      <c r="K143" s="369"/>
      <c r="L143" s="419"/>
      <c r="M143" s="419"/>
      <c r="N143" s="419"/>
      <c r="O143" s="419"/>
      <c r="P143" s="419"/>
      <c r="Q143" s="419"/>
      <c r="T143"/>
      <c r="U143"/>
      <c r="V143"/>
      <c r="W143"/>
      <c r="X143"/>
      <c r="Y143"/>
      <c r="Z143"/>
    </row>
    <row r="144" spans="1:26" ht="18" customHeight="1" x14ac:dyDescent="0.25">
      <c r="A144" s="120">
        <f t="shared" si="16"/>
        <v>48</v>
      </c>
      <c r="C144" s="475" t="str">
        <f>+IF($K$2="EN",Text!$B$27,Text!$C$27)</f>
        <v>Europe</v>
      </c>
      <c r="D144" s="515"/>
      <c r="E144" s="515"/>
      <c r="F144" s="528" vm="359">
        <f>+[3]Backup!$J$247</f>
        <v>139.93</v>
      </c>
      <c r="G144" s="529">
        <f>+G142+G143</f>
        <v>0</v>
      </c>
      <c r="H144" s="529">
        <f>+H142+H143</f>
        <v>0</v>
      </c>
      <c r="I144" s="530">
        <f t="shared" si="23"/>
        <v>0</v>
      </c>
      <c r="J144" s="542">
        <v>0</v>
      </c>
      <c r="K144" s="369"/>
      <c r="L144" s="419"/>
      <c r="M144" s="419"/>
      <c r="N144" s="419"/>
      <c r="O144" s="419"/>
      <c r="P144" s="419"/>
      <c r="Q144" s="419"/>
      <c r="S144" s="122"/>
      <c r="T144"/>
      <c r="U144"/>
      <c r="V144"/>
      <c r="W144"/>
      <c r="X144"/>
      <c r="Y144"/>
      <c r="Z144"/>
    </row>
    <row r="145" spans="1:26" ht="18" customHeight="1" x14ac:dyDescent="0.25">
      <c r="A145" s="120">
        <f t="shared" si="16"/>
        <v>49</v>
      </c>
      <c r="C145" s="421" t="str">
        <f>+IF($K$2="EN",Text!$B$39,Text!$C$39)</f>
        <v>US &amp; Canada</v>
      </c>
      <c r="D145" s="419"/>
      <c r="E145" s="419"/>
      <c r="F145" s="297">
        <f>+[3]Backup!$J$263+[3]Backup!$J$264</f>
        <v>453.76000000000005</v>
      </c>
      <c r="G145" s="350">
        <f>+SUM('[2]Inst Capacity YTD Breakdown'!J37:J38)</f>
        <v>-18.5625</v>
      </c>
      <c r="H145" s="350">
        <f>+SUM('[2]Inst Capacity YTD Breakdown'!K37:K38)</f>
        <v>0</v>
      </c>
      <c r="I145" s="351">
        <f t="shared" si="23"/>
        <v>-18.5625</v>
      </c>
      <c r="J145" s="445">
        <v>0</v>
      </c>
      <c r="K145" s="369"/>
      <c r="L145" s="419"/>
      <c r="M145" s="419"/>
      <c r="N145" s="419"/>
      <c r="O145" s="419"/>
      <c r="P145" s="419"/>
      <c r="Q145" s="450"/>
      <c r="S145" s="122"/>
      <c r="T145" s="292"/>
      <c r="U145"/>
      <c r="V145"/>
      <c r="W145"/>
      <c r="X145"/>
      <c r="Y145"/>
      <c r="Z145"/>
    </row>
    <row r="146" spans="1:26" ht="18" customHeight="1" x14ac:dyDescent="0.25">
      <c r="A146" s="120">
        <f t="shared" si="16"/>
        <v>50</v>
      </c>
      <c r="C146" s="478" t="str">
        <f>+IF($K$2="EN",Text!$B$34,Text!$C$34)</f>
        <v>North America</v>
      </c>
      <c r="D146" s="524"/>
      <c r="E146" s="524"/>
      <c r="F146" s="531" vm="139">
        <f>+[3]Backup!$J$262</f>
        <v>453.76</v>
      </c>
      <c r="G146" s="532">
        <f>+G145</f>
        <v>-18.5625</v>
      </c>
      <c r="H146" s="532">
        <f>+H145</f>
        <v>0</v>
      </c>
      <c r="I146" s="533">
        <f t="shared" si="23"/>
        <v>-18.5625</v>
      </c>
      <c r="J146" s="543">
        <v>0</v>
      </c>
      <c r="K146" s="369"/>
      <c r="L146" s="419"/>
      <c r="M146" s="419"/>
      <c r="N146" s="419"/>
      <c r="O146" s="419"/>
      <c r="P146" s="419"/>
      <c r="Q146" s="450"/>
      <c r="S146" s="122"/>
      <c r="T146"/>
      <c r="U146"/>
      <c r="V146"/>
      <c r="W146"/>
      <c r="X146"/>
      <c r="Y146"/>
      <c r="Z146"/>
    </row>
    <row r="147" spans="1:26" ht="18" customHeight="1" x14ac:dyDescent="0.25">
      <c r="A147" s="120">
        <f t="shared" si="16"/>
        <v>51</v>
      </c>
      <c r="C147" s="535" t="str">
        <f>+IF($K$2="EN",Text!$B$56,Text!$C$56)</f>
        <v>Eq. Consolidated</v>
      </c>
      <c r="D147" s="535"/>
      <c r="E147" s="535"/>
      <c r="F147" s="536" vm="341">
        <f>+[3]Backup!$J$245</f>
        <v>593.69000000000005</v>
      </c>
      <c r="G147" s="537">
        <f>+G144+G146</f>
        <v>-18.5625</v>
      </c>
      <c r="H147" s="537">
        <f>+H144+H146</f>
        <v>0</v>
      </c>
      <c r="I147" s="538">
        <f t="shared" si="23"/>
        <v>-18.5625</v>
      </c>
      <c r="J147" s="541">
        <v>0</v>
      </c>
      <c r="K147" s="369"/>
      <c r="L147" s="419"/>
      <c r="M147" s="443"/>
      <c r="N147" s="443"/>
      <c r="O147" s="443"/>
      <c r="P147" s="443"/>
      <c r="Q147" s="449"/>
      <c r="S147" s="122"/>
      <c r="T147"/>
      <c r="U147"/>
      <c r="V147"/>
      <c r="W147"/>
      <c r="X147"/>
      <c r="Y147"/>
    </row>
    <row r="148" spans="1:26" ht="18" customHeight="1" x14ac:dyDescent="0.35">
      <c r="A148" s="120">
        <f t="shared" si="16"/>
        <v>52</v>
      </c>
      <c r="C148" s="480" t="str">
        <f>C37</f>
        <v>EDPR</v>
      </c>
      <c r="D148" s="480"/>
      <c r="E148" s="480"/>
      <c r="F148" s="536">
        <f>+[3]Backup!$J$161+[3]Backup!$J$245</f>
        <v>13134.372000000001</v>
      </c>
      <c r="G148" s="537">
        <f>+G141+G147</f>
        <v>557.6875</v>
      </c>
      <c r="H148" s="537">
        <f>+H141+H147</f>
        <v>-301.90499999999997</v>
      </c>
      <c r="I148" s="538">
        <f t="shared" si="23"/>
        <v>255.78250000000003</v>
      </c>
      <c r="J148" s="541">
        <f>+J141+J147</f>
        <v>238.5</v>
      </c>
      <c r="K148" s="369"/>
      <c r="L148" s="544" t="str">
        <f>+IF($K$2="EN",Text!$B$16,Text!$C$16)</f>
        <v>Onshore Wind Additions YTD</v>
      </c>
      <c r="M148" s="524"/>
      <c r="N148" s="524"/>
      <c r="O148" s="481"/>
      <c r="P148" s="545"/>
      <c r="Q148" s="546">
        <f>SUM(Q131:Q147)</f>
        <v>576.25</v>
      </c>
      <c r="S148" s="365" t="b">
        <f>ROUND(Q148+U148,2)=ROUND(G148,2)</f>
        <v>1</v>
      </c>
      <c r="T148" s="348" t="str">
        <f>+'[2]YTD Additions by Project'!$C$13</f>
        <v>Blue Canyon I</v>
      </c>
      <c r="U148" s="291">
        <f>+G145</f>
        <v>-18.5625</v>
      </c>
      <c r="V148"/>
    </row>
    <row r="149" spans="1:26" ht="18" customHeight="1" x14ac:dyDescent="0.25">
      <c r="A149" s="120">
        <f t="shared" si="16"/>
        <v>53</v>
      </c>
      <c r="G149" s="354"/>
      <c r="H149" s="354"/>
      <c r="I149" s="354"/>
      <c r="Q149" s="208"/>
      <c r="W149"/>
    </row>
    <row r="150" spans="1:26" ht="18" customHeight="1" thickBot="1" x14ac:dyDescent="0.55000000000000004">
      <c r="A150" s="120">
        <f t="shared" si="16"/>
        <v>54</v>
      </c>
      <c r="C150" s="477" t="str">
        <f>+IF($K$2="EN",Text!$B$22,Text!$C$22)</f>
        <v>Solar &amp; BESS</v>
      </c>
      <c r="D150" s="135"/>
      <c r="E150" s="135"/>
      <c r="F150" s="135"/>
      <c r="G150" s="352"/>
      <c r="H150" s="352"/>
      <c r="I150" s="352"/>
      <c r="J150" s="135"/>
      <c r="L150" s="471" t="str">
        <f>+IF($K$2="EN",Text!$B$15,Text!$C$15)</f>
        <v>Capacity Additions YTD</v>
      </c>
      <c r="M150" s="547"/>
      <c r="N150" s="547"/>
      <c r="O150" s="547"/>
      <c r="P150" s="547"/>
      <c r="Q150" s="548"/>
      <c r="T150"/>
      <c r="U150"/>
      <c r="V150"/>
      <c r="W150"/>
    </row>
    <row r="151" spans="1:26" ht="18" customHeight="1" x14ac:dyDescent="0.25">
      <c r="A151" s="120">
        <f t="shared" si="16"/>
        <v>55</v>
      </c>
      <c r="G151" s="353"/>
      <c r="H151" s="481">
        <f>H102</f>
        <v>2025</v>
      </c>
      <c r="I151" s="353"/>
      <c r="P151" s="122"/>
      <c r="Q151" s="318"/>
      <c r="T151"/>
      <c r="U151"/>
      <c r="V151"/>
      <c r="W151"/>
    </row>
    <row r="152" spans="1:26" ht="18" customHeight="1" x14ac:dyDescent="0.25">
      <c r="A152" s="120">
        <f t="shared" si="16"/>
        <v>56</v>
      </c>
      <c r="C152" s="524" t="s">
        <v>9</v>
      </c>
      <c r="D152" s="474"/>
      <c r="E152" s="474"/>
      <c r="F152" s="492">
        <f>+Cur_Period</f>
        <v>2025</v>
      </c>
      <c r="G152" s="481" t="str">
        <f>+IF($K$2="EN",Text!$B$61,Text!$C$61)</f>
        <v>Additions</v>
      </c>
      <c r="H152" s="481" t="str">
        <f>+IF($K$2="EN",Text!$B$62,Text!$C$62)</f>
        <v>AR/Decom.</v>
      </c>
      <c r="I152" s="481" t="s">
        <v>8</v>
      </c>
      <c r="J152" s="481" t="str">
        <f>+IF($K$2="EN",Text!$B$63,Text!$C$63)</f>
        <v>U/C</v>
      </c>
      <c r="L152" s="524" t="str">
        <f>+IF($K$2="EN",Text!$B$53,Text!$C$53)</f>
        <v>Project</v>
      </c>
      <c r="M152" s="524"/>
      <c r="N152" s="524"/>
      <c r="O152" s="524" t="str">
        <f>+IF($K$2="EN",Text!$B$54,Text!$C$54)</f>
        <v>Country</v>
      </c>
      <c r="P152" s="481"/>
      <c r="Q152" s="549" t="s">
        <v>9</v>
      </c>
      <c r="T152"/>
      <c r="U152"/>
      <c r="V152"/>
      <c r="W152"/>
    </row>
    <row r="153" spans="1:26" ht="18" customHeight="1" x14ac:dyDescent="0.25">
      <c r="A153" s="120">
        <f t="shared" si="16"/>
        <v>57</v>
      </c>
      <c r="C153" s="421" t="str">
        <f>+IF($K$2="EN",Text!$B$28,Text!$C$28)</f>
        <v>Spain</v>
      </c>
      <c r="D153" s="419"/>
      <c r="E153" s="419"/>
      <c r="F153" s="297" vm="338">
        <f>+[3]Backup!$J$205</f>
        <v>95.02000000000001</v>
      </c>
      <c r="G153" s="350">
        <f>+'[2]Inst Capacity YTD Breakdown'!Q6</f>
        <v>19.68</v>
      </c>
      <c r="H153" s="350">
        <f>+'[2]Inst Capacity YTD Breakdown'!R6</f>
        <v>-272.56</v>
      </c>
      <c r="I153" s="355">
        <f t="shared" ref="I153:I160" si="24">SUM(G153:H153)</f>
        <v>-252.88</v>
      </c>
      <c r="J153" s="298" vm="327">
        <f>+[3]Backup!$J$468</f>
        <v>115.7</v>
      </c>
      <c r="K153" s="369"/>
      <c r="L153" s="419" t="str">
        <f>+'[2]YTD Additions by Project'!L22</f>
        <v>Palma</v>
      </c>
      <c r="M153" s="419"/>
      <c r="N153" s="419"/>
      <c r="O153" s="419" t="str">
        <f>+'[2]YTD Additions by Project'!M22</f>
        <v>Spain</v>
      </c>
      <c r="P153" s="419"/>
      <c r="Q153" s="327">
        <f>+'[2]YTD Additions by Project'!N22</f>
        <v>19.68</v>
      </c>
      <c r="T153"/>
      <c r="U153"/>
      <c r="V153"/>
      <c r="W153"/>
    </row>
    <row r="154" spans="1:26" ht="18" customHeight="1" x14ac:dyDescent="0.25">
      <c r="A154" s="120">
        <f t="shared" si="16"/>
        <v>58</v>
      </c>
      <c r="C154" s="421" t="str">
        <f>+IF($K$2="EN",Text!$B$29,Text!$C$29)</f>
        <v>Portugal</v>
      </c>
      <c r="D154" s="419"/>
      <c r="E154" s="419"/>
      <c r="F154" s="297" vm="355">
        <f>+[3]Backup!$J$206</f>
        <v>248.9</v>
      </c>
      <c r="G154" s="350">
        <f>+'[2]Inst Capacity YTD Breakdown'!Q7</f>
        <v>61</v>
      </c>
      <c r="H154" s="370">
        <f>+'[2]Inst Capacity YTD Breakdown'!R7</f>
        <v>-47.9</v>
      </c>
      <c r="I154" s="355">
        <f t="shared" si="24"/>
        <v>13.100000000000001</v>
      </c>
      <c r="J154" s="298">
        <f>+[3]Backup!$J$469</f>
        <v>0</v>
      </c>
      <c r="K154" s="369"/>
      <c r="L154" s="419" t="str">
        <f>+'[2]YTD Additions by Project'!L23</f>
        <v>Charneca das Lebres (Hybrid)</v>
      </c>
      <c r="M154" s="419"/>
      <c r="N154" s="419"/>
      <c r="O154" s="419" t="str">
        <f>+'[2]YTD Additions by Project'!M23</f>
        <v>Portugal</v>
      </c>
      <c r="P154" s="419"/>
      <c r="Q154" s="327">
        <f>+'[2]YTD Additions by Project'!N23</f>
        <v>13.1</v>
      </c>
      <c r="T154"/>
      <c r="U154"/>
      <c r="V154"/>
      <c r="W154"/>
    </row>
    <row r="155" spans="1:26" ht="18" customHeight="1" x14ac:dyDescent="0.25">
      <c r="A155" s="120">
        <f t="shared" si="16"/>
        <v>59</v>
      </c>
      <c r="C155" s="421" t="str">
        <f>+IF($K$2="EN",Text!$B$30,Text!$C$30)</f>
        <v>Rest of Europe</v>
      </c>
      <c r="D155" s="419"/>
      <c r="E155" s="419"/>
      <c r="F155" s="297">
        <f>+[3]Backup!$J$207</f>
        <v>597.22149999999988</v>
      </c>
      <c r="G155" s="350">
        <f>+SUM('[2]Inst Capacity YTD Breakdown'!Q8:Q17)</f>
        <v>246.1215</v>
      </c>
      <c r="H155" s="350">
        <f>+SUM('[2]Inst Capacity YTD Breakdown'!R8:R17)</f>
        <v>-208.036</v>
      </c>
      <c r="I155" s="351">
        <f t="shared" si="24"/>
        <v>38.085499999999996</v>
      </c>
      <c r="J155" s="298">
        <f>+[3]Backup!$J$470</f>
        <v>198.75</v>
      </c>
      <c r="K155" s="369"/>
      <c r="L155" s="556" t="str">
        <f>+'[2]YTD Additions by Project'!L24</f>
        <v>Pracana (Hybrid)</v>
      </c>
      <c r="M155" s="419"/>
      <c r="N155" s="419"/>
      <c r="O155" s="419" t="str">
        <f>+'[2]YTD Additions by Project'!M24</f>
        <v>Portugal</v>
      </c>
      <c r="P155" s="419"/>
      <c r="Q155" s="327">
        <f>+'[2]YTD Additions by Project'!N24</f>
        <v>47.9</v>
      </c>
      <c r="T155"/>
      <c r="U155"/>
      <c r="V155"/>
      <c r="W155"/>
    </row>
    <row r="156" spans="1:26" ht="18" customHeight="1" x14ac:dyDescent="0.35">
      <c r="A156" s="120">
        <f t="shared" si="16"/>
        <v>60</v>
      </c>
      <c r="C156" s="475" t="str">
        <f>+IF($K$2="EN",Text!$B$27,Text!$C$27)</f>
        <v>Europe</v>
      </c>
      <c r="D156" s="515"/>
      <c r="E156" s="515"/>
      <c r="F156" s="528" vm="359">
        <f>+[3]Backup!$J$204</f>
        <v>941.14149999999995</v>
      </c>
      <c r="G156" s="529">
        <f>+SUM(G153:G155)</f>
        <v>326.80150000000003</v>
      </c>
      <c r="H156" s="529">
        <f>+SUM(H153:H155)</f>
        <v>-528.49599999999998</v>
      </c>
      <c r="I156" s="530">
        <f t="shared" si="24"/>
        <v>-201.69449999999995</v>
      </c>
      <c r="J156" s="539">
        <f>+SUM(J153:J155)</f>
        <v>314.45</v>
      </c>
      <c r="K156" s="369"/>
      <c r="L156" s="419" t="str">
        <f>+'[2]YTD Additions by Project'!L25</f>
        <v>Menestreau</v>
      </c>
      <c r="M156" s="419"/>
      <c r="N156" s="419"/>
      <c r="O156" s="419" t="str">
        <f>+'[2]YTD Additions by Project'!M25</f>
        <v>France</v>
      </c>
      <c r="P156" s="419"/>
      <c r="Q156" s="327">
        <f>+'[2]YTD Additions by Project'!N25</f>
        <v>11.66</v>
      </c>
      <c r="S156" s="290"/>
      <c r="T156"/>
      <c r="U156"/>
      <c r="V156"/>
      <c r="W156"/>
    </row>
    <row r="157" spans="1:26" ht="18" customHeight="1" x14ac:dyDescent="0.35">
      <c r="A157" s="120">
        <f t="shared" si="16"/>
        <v>61</v>
      </c>
      <c r="C157" s="421" t="str">
        <f>+IF($K$2="EN",Text!$B$35,Text!$C$35)</f>
        <v>US</v>
      </c>
      <c r="D157" s="419"/>
      <c r="E157" s="419"/>
      <c r="F157" s="297" vm="141">
        <f>+[3]Backup!$J$220</f>
        <v>3306.5401000000138</v>
      </c>
      <c r="G157" s="350">
        <f>+'[2]Inst Capacity YTD Breakdown'!Q19</f>
        <v>824.76209999999992</v>
      </c>
      <c r="H157" s="350">
        <f>+'[2]Inst Capacity YTD Breakdown'!R19</f>
        <v>-2.0659999999999994</v>
      </c>
      <c r="I157" s="351">
        <f t="shared" si="24"/>
        <v>822.69609999999989</v>
      </c>
      <c r="J157" s="298" vm="328">
        <f>+[3]Backup!$J$483</f>
        <v>626.71500000000015</v>
      </c>
      <c r="K157" s="369"/>
      <c r="L157" s="419" t="str">
        <f>+'[2]YTD Additions by Project'!L26</f>
        <v>Monts</v>
      </c>
      <c r="M157" s="419"/>
      <c r="N157" s="419"/>
      <c r="O157" s="419" t="str">
        <f>+'[2]YTD Additions by Project'!M26</f>
        <v>France</v>
      </c>
      <c r="P157" s="419"/>
      <c r="Q157" s="327">
        <f>+'[2]YTD Additions by Project'!N26</f>
        <v>16.84</v>
      </c>
      <c r="S157" s="290"/>
      <c r="T157"/>
      <c r="U157"/>
      <c r="V157"/>
      <c r="W157"/>
    </row>
    <row r="158" spans="1:26" ht="18" customHeight="1" x14ac:dyDescent="0.35">
      <c r="A158" s="120">
        <f t="shared" si="16"/>
        <v>62</v>
      </c>
      <c r="C158" s="421" t="str">
        <f>+IF($K$2="EN",Text!$B$38,Text!$C$38)</f>
        <v>Canada &amp; Mexico</v>
      </c>
      <c r="D158" s="419"/>
      <c r="E158" s="419"/>
      <c r="F158" s="297">
        <f>+[3]Backup!$J$221+[3]Backup!$J$222</f>
        <v>200</v>
      </c>
      <c r="G158" s="350">
        <f>+SUM('[2]Inst Capacity YTD Breakdown'!Q20:Q21)</f>
        <v>0</v>
      </c>
      <c r="H158" s="350">
        <f>+SUM('[2]Inst Capacity YTD Breakdown'!R20:R21)</f>
        <v>0</v>
      </c>
      <c r="I158" s="351">
        <f t="shared" si="24"/>
        <v>0</v>
      </c>
      <c r="J158" s="298">
        <f>+[3]Backup!$J$484+[3]Backup!$J$485</f>
        <v>0</v>
      </c>
      <c r="K158" s="369"/>
      <c r="L158" s="556" t="str">
        <f>+'[2]YTD Additions by Project'!L27</f>
        <v>Chiaramonte I</v>
      </c>
      <c r="M158" s="419"/>
      <c r="N158" s="419"/>
      <c r="O158" s="419" t="str">
        <f>+'[2]YTD Additions by Project'!M27</f>
        <v>Italy</v>
      </c>
      <c r="P158" s="419"/>
      <c r="Q158" s="327">
        <f>+'[2]YTD Additions by Project'!N27</f>
        <v>23.7</v>
      </c>
      <c r="S158" s="290"/>
      <c r="T158"/>
      <c r="U158"/>
      <c r="V158"/>
      <c r="W158"/>
    </row>
    <row r="159" spans="1:26" ht="18" customHeight="1" x14ac:dyDescent="0.35">
      <c r="A159" s="120">
        <f t="shared" si="16"/>
        <v>63</v>
      </c>
      <c r="B159" s="122"/>
      <c r="C159" s="475" t="str">
        <f>+IF($K$2="EN",Text!$B$34,Text!$C$34)</f>
        <v>North America</v>
      </c>
      <c r="D159" s="515"/>
      <c r="E159" s="515"/>
      <c r="F159" s="528" vm="85">
        <f>+[3]Backup!$J$219</f>
        <v>3506.5401000000084</v>
      </c>
      <c r="G159" s="529">
        <f>+SUM(G157:G158)</f>
        <v>824.76209999999992</v>
      </c>
      <c r="H159" s="529">
        <f>+SUM(H157:H158)</f>
        <v>-2.0659999999999994</v>
      </c>
      <c r="I159" s="530">
        <f t="shared" si="24"/>
        <v>822.69609999999989</v>
      </c>
      <c r="J159" s="539">
        <f>+SUM(J157:J158)</f>
        <v>626.71500000000015</v>
      </c>
      <c r="K159" s="369"/>
      <c r="L159" s="556" t="str">
        <f>+'[2]YTD Additions by Project'!L28</f>
        <v>Chiaramonte II</v>
      </c>
      <c r="M159" s="419"/>
      <c r="N159" s="419"/>
      <c r="O159" s="419" t="str">
        <f>+'[2]YTD Additions by Project'!M28</f>
        <v>Italy</v>
      </c>
      <c r="P159" s="419"/>
      <c r="Q159" s="327">
        <f>+'[2]YTD Additions by Project'!N28</f>
        <v>38.700000000000003</v>
      </c>
      <c r="S159" s="290"/>
      <c r="T159"/>
      <c r="U159"/>
      <c r="V159"/>
      <c r="W159"/>
    </row>
    <row r="160" spans="1:26" ht="18" customHeight="1" x14ac:dyDescent="0.35">
      <c r="A160" s="120">
        <f t="shared" si="16"/>
        <v>64</v>
      </c>
      <c r="B160" s="122"/>
      <c r="C160" s="421" t="str">
        <f>+IF($K$2="EN",Text!$B$41,Text!$C$41)</f>
        <v>Brazil</v>
      </c>
      <c r="D160" s="419"/>
      <c r="E160" s="419"/>
      <c r="F160" s="297" vm="344">
        <f>+[3]Backup!$J$225</f>
        <v>670.41020000000003</v>
      </c>
      <c r="G160" s="350">
        <f>+'[2]Inst Capacity YTD Breakdown'!Q23</f>
        <v>0</v>
      </c>
      <c r="H160" s="350">
        <f>+'[2]Inst Capacity YTD Breakdown'!R23</f>
        <v>0</v>
      </c>
      <c r="I160" s="351">
        <f t="shared" si="24"/>
        <v>0</v>
      </c>
      <c r="J160" s="298">
        <f>+[3]Backup!$J$488</f>
        <v>0</v>
      </c>
      <c r="K160" s="369"/>
      <c r="L160" s="419" t="str">
        <f>+'[2]YTD Additions by Project'!L29</f>
        <v>Ketzin</v>
      </c>
      <c r="M160" s="419"/>
      <c r="N160" s="419"/>
      <c r="O160" s="419" t="str">
        <f>+'[2]YTD Additions by Project'!M29</f>
        <v>Germany</v>
      </c>
      <c r="P160" s="419"/>
      <c r="Q160" s="327">
        <f>+'[2]YTD Additions by Project'!N29</f>
        <v>58.078600000000002</v>
      </c>
      <c r="S160" s="290"/>
      <c r="T160" s="356"/>
      <c r="U160"/>
      <c r="V160"/>
      <c r="W160"/>
    </row>
    <row r="161" spans="1:35" ht="18" customHeight="1" x14ac:dyDescent="0.35">
      <c r="A161" s="120">
        <f t="shared" si="16"/>
        <v>65</v>
      </c>
      <c r="B161" s="122"/>
      <c r="C161" s="421" t="str">
        <f>+IF($K$2="EN",Text!$B$44,Text!$C$44)</f>
        <v>Chile</v>
      </c>
      <c r="D161" s="419"/>
      <c r="E161" s="419"/>
      <c r="F161" s="297">
        <v>0</v>
      </c>
      <c r="G161" s="350">
        <f>+'[2]Inst Capacity YTD Breakdown'!Q24</f>
        <v>0</v>
      </c>
      <c r="H161" s="350">
        <f>+'[2]Inst Capacity YTD Breakdown'!R24</f>
        <v>0</v>
      </c>
      <c r="I161" s="351">
        <f t="shared" ref="I161" si="25">SUM(G161:H161)</f>
        <v>0</v>
      </c>
      <c r="J161" s="298" vm="96">
        <f>+[3]Backup!$J$490</f>
        <v>60</v>
      </c>
      <c r="K161" s="369"/>
      <c r="L161" s="419" t="str">
        <f>+'[2]YTD Additions by Project'!L30</f>
        <v>Meuselwitz</v>
      </c>
      <c r="M161" s="419"/>
      <c r="N161" s="419"/>
      <c r="O161" s="419" t="str">
        <f>+'[2]YTD Additions by Project'!M30</f>
        <v>Germany</v>
      </c>
      <c r="P161" s="419"/>
      <c r="Q161" s="327">
        <f>+'[2]YTD Additions by Project'!N30</f>
        <v>47.142899999999997</v>
      </c>
      <c r="S161" s="290"/>
      <c r="T161"/>
      <c r="U161"/>
      <c r="V161"/>
      <c r="W161"/>
    </row>
    <row r="162" spans="1:35" ht="18" customHeight="1" x14ac:dyDescent="0.35">
      <c r="A162" s="120">
        <f t="shared" ref="A162:A187" si="26">A161+1</f>
        <v>66</v>
      </c>
      <c r="C162" s="475" t="str">
        <f>+IF($K$2="EN",Text!$B$40,Text!$C$40)</f>
        <v>South America</v>
      </c>
      <c r="D162" s="515"/>
      <c r="E162" s="515"/>
      <c r="F162" s="528" vm="353">
        <f>+[3]Backup!$J$224</f>
        <v>670.41020000000003</v>
      </c>
      <c r="G162" s="529">
        <f>+G160</f>
        <v>0</v>
      </c>
      <c r="H162" s="529">
        <f>+H160</f>
        <v>0</v>
      </c>
      <c r="I162" s="530">
        <f t="shared" ref="I162:I172" si="27">SUM(G162:H162)</f>
        <v>0</v>
      </c>
      <c r="J162" s="539">
        <f>+SUM(J160:J161)</f>
        <v>60</v>
      </c>
      <c r="K162" s="369"/>
      <c r="L162" s="419" t="str">
        <f>+'[2]YTD Additions by Project'!L31</f>
        <v>Harrington Franklin BESS</v>
      </c>
      <c r="M162" s="419"/>
      <c r="N162" s="419"/>
      <c r="O162" s="419" t="str">
        <f>+'[2]YTD Additions by Project'!M31</f>
        <v>UK</v>
      </c>
      <c r="P162" s="419"/>
      <c r="Q162" s="327">
        <f>+'[2]YTD Additions by Project'!N31</f>
        <v>50</v>
      </c>
      <c r="R162" s="133"/>
      <c r="S162" s="290"/>
      <c r="T162"/>
      <c r="U162"/>
      <c r="V162"/>
      <c r="W162"/>
    </row>
    <row r="163" spans="1:35" ht="18" customHeight="1" x14ac:dyDescent="0.35">
      <c r="A163" s="120">
        <f t="shared" si="26"/>
        <v>67</v>
      </c>
      <c r="C163" s="421" t="str">
        <f>+IF($K$2="EN",Text!$B$47,Text!$C$47)</f>
        <v>Vietnam</v>
      </c>
      <c r="D163" s="419"/>
      <c r="E163" s="419"/>
      <c r="F163" s="297" vm="319">
        <f>+[3]Backup!$J$230</f>
        <v>402.47019999999998</v>
      </c>
      <c r="G163" s="350">
        <f>+'[2]Inst Capacity YTD Breakdown'!Q27</f>
        <v>0</v>
      </c>
      <c r="H163" s="350">
        <f>+'[2]Inst Capacity YTD Breakdown'!R27</f>
        <v>0</v>
      </c>
      <c r="I163" s="351">
        <f t="shared" si="27"/>
        <v>0</v>
      </c>
      <c r="J163" s="298">
        <f>+[3]Backup!$J$493</f>
        <v>0</v>
      </c>
      <c r="K163" s="369"/>
      <c r="L163" s="419" t="str">
        <f>+'[2]YTD Additions by Project'!L32</f>
        <v>Azalea Springs</v>
      </c>
      <c r="M163" s="419"/>
      <c r="N163" s="419"/>
      <c r="O163" s="419" t="str">
        <f>+'[2]YTD Additions by Project'!M32</f>
        <v>US</v>
      </c>
      <c r="P163" s="419"/>
      <c r="Q163" s="327">
        <f>+'[2]YTD Additions by Project'!N32</f>
        <v>180</v>
      </c>
      <c r="R163" s="133"/>
      <c r="S163" s="290"/>
      <c r="T163"/>
      <c r="U163"/>
      <c r="V163"/>
      <c r="W163"/>
      <c r="X163"/>
      <c r="Y163"/>
      <c r="Z163"/>
      <c r="AA163"/>
    </row>
    <row r="164" spans="1:35" ht="18" customHeight="1" x14ac:dyDescent="0.35">
      <c r="A164" s="120">
        <f t="shared" si="26"/>
        <v>68</v>
      </c>
      <c r="C164" s="421" t="str">
        <f>+IF($K$2="EN",Text!$B$48,Text!$C$48)</f>
        <v>Singapore</v>
      </c>
      <c r="D164" s="419"/>
      <c r="E164" s="419"/>
      <c r="F164" s="297" vm="351">
        <f>+[3]Backup!$J$231</f>
        <v>440.48570000000029</v>
      </c>
      <c r="G164" s="460">
        <f>+'[2]Inst Capacity YTD Breakdown'!Q28</f>
        <v>86.442000000000007</v>
      </c>
      <c r="H164" s="350">
        <f>+'[2]Inst Capacity YTD Breakdown'!R28</f>
        <v>-8.6216999999999988</v>
      </c>
      <c r="I164" s="351">
        <f t="shared" si="27"/>
        <v>77.820300000000003</v>
      </c>
      <c r="J164" s="298" vm="318">
        <f>+[3]Backup!$J$494</f>
        <v>12.923500000000001</v>
      </c>
      <c r="K164" s="369"/>
      <c r="L164" s="419" t="str">
        <f>+'[2]YTD Additions by Project'!L33</f>
        <v>Pleasantville</v>
      </c>
      <c r="M164" s="419"/>
      <c r="N164" s="419"/>
      <c r="O164" s="419" t="str">
        <f>+'[2]YTD Additions by Project'!M33</f>
        <v>US</v>
      </c>
      <c r="P164" s="419"/>
      <c r="Q164" s="327">
        <f>+'[2]YTD Additions by Project'!N33</f>
        <v>150</v>
      </c>
      <c r="S164" s="290"/>
      <c r="T164" s="292"/>
      <c r="U164"/>
      <c r="V164"/>
      <c r="W164"/>
      <c r="X164"/>
      <c r="Y164"/>
      <c r="Z164"/>
      <c r="AA164"/>
    </row>
    <row r="165" spans="1:35" ht="18" customHeight="1" x14ac:dyDescent="0.35">
      <c r="A165" s="120">
        <f t="shared" si="26"/>
        <v>69</v>
      </c>
      <c r="C165" s="421" t="str">
        <f>+IF($K$2="EN",Text!$B$49,Text!$C$49)</f>
        <v>Rest of APAC</v>
      </c>
      <c r="D165" s="419"/>
      <c r="E165" s="419"/>
      <c r="F165" s="297">
        <f>+[3]Backup!$J$232</f>
        <v>302.86650000000003</v>
      </c>
      <c r="G165" s="350">
        <f>+'[2]Inst Capacity YTD Breakdown'!Q29</f>
        <v>53.137100000000004</v>
      </c>
      <c r="H165" s="350">
        <f>+'[2]Inst Capacity YTD Breakdown'!R29</f>
        <v>-6.9320000000000004</v>
      </c>
      <c r="I165" s="351">
        <f t="shared" si="27"/>
        <v>46.205100000000002</v>
      </c>
      <c r="J165" s="298">
        <f>+[3]Backup!$J$495</f>
        <v>21.142699999999998</v>
      </c>
      <c r="K165" s="369"/>
      <c r="L165" s="556" t="str">
        <f>+'[2]YTD Additions by Project'!L34</f>
        <v>Riverstart IV</v>
      </c>
      <c r="M165" s="419"/>
      <c r="N165" s="419"/>
      <c r="O165" s="419" t="str">
        <f>+'[2]YTD Additions by Project'!M34</f>
        <v>US</v>
      </c>
      <c r="P165" s="419"/>
      <c r="Q165" s="327">
        <f>+'[2]YTD Additions by Project'!N34</f>
        <v>150</v>
      </c>
      <c r="S165" s="290"/>
      <c r="T165" s="292"/>
      <c r="U165" s="356"/>
      <c r="V165"/>
      <c r="W165"/>
      <c r="X165"/>
      <c r="Y165"/>
      <c r="Z165"/>
      <c r="AA165"/>
    </row>
    <row r="166" spans="1:35" ht="18" customHeight="1" x14ac:dyDescent="0.35">
      <c r="A166" s="120">
        <f t="shared" si="26"/>
        <v>70</v>
      </c>
      <c r="C166" s="478" t="str">
        <f>+IF($K$2="EN",Text!$B$46,Text!$C$46)</f>
        <v>APAC</v>
      </c>
      <c r="D166" s="524"/>
      <c r="E166" s="524"/>
      <c r="F166" s="528" vm="339">
        <f>+[3]Backup!$J$229</f>
        <v>1145.8224</v>
      </c>
      <c r="G166" s="532">
        <f>+SUM(G163:G165)</f>
        <v>139.57910000000001</v>
      </c>
      <c r="H166" s="529">
        <f>+SUM(H163:H165)</f>
        <v>-15.553699999999999</v>
      </c>
      <c r="I166" s="533">
        <f t="shared" si="27"/>
        <v>124.02540000000002</v>
      </c>
      <c r="J166" s="540">
        <f>+SUM(J163:J165)</f>
        <v>34.066199999999995</v>
      </c>
      <c r="K166" s="369"/>
      <c r="L166" s="419" t="str">
        <f>+'[2]YTD Additions by Project'!L35</f>
        <v>Flatland BESS</v>
      </c>
      <c r="M166" s="419"/>
      <c r="N166" s="419"/>
      <c r="O166" s="419" t="str">
        <f>+'[2]YTD Additions by Project'!M35</f>
        <v>US</v>
      </c>
      <c r="P166" s="419"/>
      <c r="Q166" s="327">
        <f>+'[2]YTD Additions by Project'!N35</f>
        <v>200</v>
      </c>
      <c r="S166" s="290"/>
      <c r="T166" s="292"/>
      <c r="U166"/>
      <c r="V166"/>
      <c r="W166"/>
    </row>
    <row r="167" spans="1:35" ht="18" customHeight="1" x14ac:dyDescent="0.35">
      <c r="A167" s="120">
        <f t="shared" si="26"/>
        <v>71</v>
      </c>
      <c r="C167" s="535" t="str">
        <f>+IF($K$2="EN",Text!$B$55,Text!$C$55)</f>
        <v>EBITDA MW</v>
      </c>
      <c r="D167" s="535"/>
      <c r="E167" s="535"/>
      <c r="F167" s="536">
        <f>+[3]Backup!$J$202+T167</f>
        <v>6263.914199999992</v>
      </c>
      <c r="G167" s="537">
        <f>+G156+G159+G162+G166</f>
        <v>1291.1426999999999</v>
      </c>
      <c r="H167" s="537">
        <f>+H156+H159+H162+H166</f>
        <v>-546.11570000000006</v>
      </c>
      <c r="I167" s="538">
        <f t="shared" si="27"/>
        <v>745.02699999999982</v>
      </c>
      <c r="J167" s="541">
        <f>+J156+J159+J166+J162</f>
        <v>1035.2312000000002</v>
      </c>
      <c r="K167" s="369"/>
      <c r="L167" s="419" t="str">
        <f>+'[2]YTD Additions by Project'!L36</f>
        <v>Sandrini BESS</v>
      </c>
      <c r="M167" s="419"/>
      <c r="N167" s="419"/>
      <c r="O167" s="419" t="str">
        <f>+'[2]YTD Additions by Project'!M36</f>
        <v>US</v>
      </c>
      <c r="P167" s="419"/>
      <c r="Q167" s="327">
        <f>+'[2]YTD Additions by Project'!N36</f>
        <v>92</v>
      </c>
      <c r="S167" s="290"/>
      <c r="T167" s="292"/>
      <c r="U167"/>
      <c r="V167"/>
      <c r="W167"/>
    </row>
    <row r="168" spans="1:35" ht="18" customHeight="1" x14ac:dyDescent="0.35">
      <c r="A168" s="120">
        <f t="shared" si="26"/>
        <v>72</v>
      </c>
      <c r="C168" s="421" t="str">
        <f>+IF($K$2="EN",Text!$B$35,Text!$C$35)</f>
        <v>US</v>
      </c>
      <c r="D168" s="419"/>
      <c r="E168" s="419"/>
      <c r="F168" s="297" vm="349">
        <f>+[3]Backup!$J$304</f>
        <v>246.98000000000002</v>
      </c>
      <c r="G168" s="350">
        <f>+'[2]Inst Capacity YTD Breakdown'!Q37</f>
        <v>0</v>
      </c>
      <c r="H168" s="350">
        <f>+'[2]Inst Capacity YTD Breakdown'!R37</f>
        <v>0</v>
      </c>
      <c r="I168" s="351">
        <f t="shared" si="27"/>
        <v>0</v>
      </c>
      <c r="J168" s="298">
        <v>0</v>
      </c>
      <c r="K168" s="369"/>
      <c r="L168" s="419" t="str">
        <f>+'[2]YTD Additions by Project'!L37</f>
        <v>Distributed Solar + DG BESS</v>
      </c>
      <c r="M168" s="419"/>
      <c r="N168" s="419"/>
      <c r="O168" s="419" t="str">
        <f>+'[2]YTD Additions by Project'!M37</f>
        <v>US</v>
      </c>
      <c r="P168" s="419"/>
      <c r="Q168" s="327" t="s">
        <v>0</v>
      </c>
      <c r="S168" s="290"/>
      <c r="T168" s="292"/>
      <c r="U168"/>
      <c r="V168"/>
      <c r="W168"/>
    </row>
    <row r="169" spans="1:35" s="143" customFormat="1" ht="18" customHeight="1" x14ac:dyDescent="0.35">
      <c r="A169" s="120">
        <f t="shared" si="26"/>
        <v>73</v>
      </c>
      <c r="B169" s="121"/>
      <c r="C169" s="475" t="str">
        <f>+IF($K$2="EN",Text!$B$34,Text!$C$34)</f>
        <v>North America</v>
      </c>
      <c r="D169" s="515"/>
      <c r="E169" s="515"/>
      <c r="F169" s="528" vm="347">
        <f>+[3]Backup!$J$303</f>
        <v>246.98000000000002</v>
      </c>
      <c r="G169" s="529">
        <f>+G168</f>
        <v>0</v>
      </c>
      <c r="H169" s="529">
        <f>+H168</f>
        <v>0</v>
      </c>
      <c r="I169" s="530">
        <f t="shared" si="27"/>
        <v>0</v>
      </c>
      <c r="J169" s="542">
        <v>0</v>
      </c>
      <c r="K169" s="369"/>
      <c r="L169" s="419" t="str">
        <f>+'[2]YTD Additions by Project'!L38</f>
        <v>Singapore</v>
      </c>
      <c r="M169" s="419"/>
      <c r="N169" s="419"/>
      <c r="O169" s="419" t="str">
        <f>+'[2]YTD Additions by Project'!M38</f>
        <v>Singapore</v>
      </c>
      <c r="P169" s="419"/>
      <c r="Q169" s="327">
        <f>+'[2]YTD Additions by Project'!N38</f>
        <v>86.442000000000007</v>
      </c>
      <c r="S169" s="290"/>
      <c r="T169" s="292"/>
      <c r="U169"/>
      <c r="V169"/>
      <c r="W169"/>
      <c r="X169" s="121"/>
      <c r="Y169" s="121"/>
      <c r="Z169" s="121"/>
      <c r="AA169" s="121"/>
      <c r="AB169" s="121"/>
      <c r="AC169" s="121"/>
      <c r="AD169" s="121"/>
      <c r="AE169" s="121"/>
      <c r="AF169" s="121"/>
      <c r="AG169" s="121"/>
      <c r="AH169" s="121"/>
      <c r="AI169" s="121"/>
    </row>
    <row r="170" spans="1:35" ht="18" customHeight="1" x14ac:dyDescent="0.35">
      <c r="A170" s="120">
        <f t="shared" si="26"/>
        <v>74</v>
      </c>
      <c r="B170" s="143"/>
      <c r="C170" s="478" t="str">
        <f>+IF($K$2="EN",Text!$B$46,Text!$C$46)</f>
        <v>APAC</v>
      </c>
      <c r="D170" s="524"/>
      <c r="E170" s="524"/>
      <c r="F170" s="550">
        <f>+[3]Backup!$J$309</f>
        <v>5.9178999999999995</v>
      </c>
      <c r="G170" s="532">
        <f>+'[2]Inst Capacity YTD Breakdown'!Q41</f>
        <v>0</v>
      </c>
      <c r="H170" s="551">
        <f>+'[2]Inst Capacity YTD Breakdown'!R41</f>
        <v>-5.2436999999999996</v>
      </c>
      <c r="I170" s="533">
        <f t="shared" si="27"/>
        <v>-5.2436999999999996</v>
      </c>
      <c r="J170" s="540">
        <f>+[3]Backup!$J$411</f>
        <v>0</v>
      </c>
      <c r="K170" s="369"/>
      <c r="L170" s="556" t="str">
        <f>+'[2]YTD Additions by Project'!L39</f>
        <v>Fukushima</v>
      </c>
      <c r="M170" s="419"/>
      <c r="N170" s="419"/>
      <c r="O170" s="419" t="str">
        <f>+'[2]YTD Additions by Project'!M39</f>
        <v>Japan</v>
      </c>
      <c r="P170" s="419"/>
      <c r="Q170" s="327">
        <f>+'[2]YTD Additions by Project'!N39</f>
        <v>35</v>
      </c>
      <c r="S170" s="290"/>
      <c r="T170" s="292"/>
      <c r="U170"/>
      <c r="V170"/>
      <c r="W170"/>
      <c r="X170" s="143"/>
      <c r="Y170" s="143"/>
      <c r="Z170" s="143"/>
      <c r="AA170" s="143"/>
      <c r="AB170" s="143"/>
      <c r="AC170" s="143"/>
      <c r="AD170" s="143"/>
      <c r="AE170" s="143"/>
      <c r="AF170" s="143"/>
      <c r="AG170" s="143"/>
      <c r="AH170" s="143"/>
      <c r="AI170" s="143"/>
    </row>
    <row r="171" spans="1:35" ht="18" customHeight="1" x14ac:dyDescent="0.35">
      <c r="A171" s="120">
        <f t="shared" si="26"/>
        <v>75</v>
      </c>
      <c r="C171" s="535" t="str">
        <f>+IF($K$2="EN",Text!$B$56,Text!$C$56)</f>
        <v>Eq. Consolidated</v>
      </c>
      <c r="D171" s="535"/>
      <c r="E171" s="535"/>
      <c r="F171" s="536" vm="336">
        <f>+[3]Backup!$J$286</f>
        <v>252.89790000000002</v>
      </c>
      <c r="G171" s="537">
        <f>+G169+G170</f>
        <v>0</v>
      </c>
      <c r="H171" s="537">
        <f>+H169+H170</f>
        <v>-5.2436999999999996</v>
      </c>
      <c r="I171" s="538">
        <f t="shared" si="27"/>
        <v>-5.2436999999999996</v>
      </c>
      <c r="J171" s="541">
        <f>+J170+J169</f>
        <v>0</v>
      </c>
      <c r="K171" s="369"/>
      <c r="L171" s="419" t="str">
        <f>+'[2]YTD Additions by Project'!L40</f>
        <v>Solar DG</v>
      </c>
      <c r="M171" s="419"/>
      <c r="N171" s="419"/>
      <c r="O171" s="419" t="str">
        <f>+'[2]YTD Additions by Project'!M40</f>
        <v>Rest of APAC</v>
      </c>
      <c r="P171" s="419"/>
      <c r="Q171" s="327">
        <f>+'[2]YTD Additions by Project'!N40</f>
        <v>18.1371</v>
      </c>
      <c r="R171" s="143"/>
      <c r="S171" s="290"/>
      <c r="T171" s="292"/>
      <c r="U171"/>
      <c r="V171"/>
      <c r="W171"/>
    </row>
    <row r="172" spans="1:35" ht="18" customHeight="1" x14ac:dyDescent="0.35">
      <c r="A172" s="120">
        <f t="shared" si="26"/>
        <v>76</v>
      </c>
      <c r="C172" s="480" t="str">
        <f>C37</f>
        <v>EDPR</v>
      </c>
      <c r="D172" s="480"/>
      <c r="E172" s="480"/>
      <c r="F172" s="536">
        <f>+[3]Backup!$J$202+[3]Backup!$J$286</f>
        <v>6516.8120999999919</v>
      </c>
      <c r="G172" s="537">
        <f>+G167+G171</f>
        <v>1291.1426999999999</v>
      </c>
      <c r="H172" s="537">
        <f>+H167+H171</f>
        <v>-551.35940000000005</v>
      </c>
      <c r="I172" s="538">
        <f t="shared" si="27"/>
        <v>739.78329999999983</v>
      </c>
      <c r="J172" s="541">
        <f>+J167+J171</f>
        <v>1035.2312000000002</v>
      </c>
      <c r="K172" s="369"/>
      <c r="L172" s="480" t="str">
        <f>+IF($K$2="EN",Text!$B$17,Text!$C$17)</f>
        <v>Solar Additions YTD</v>
      </c>
      <c r="M172" s="480"/>
      <c r="N172" s="480"/>
      <c r="O172" s="552"/>
      <c r="P172" s="553"/>
      <c r="Q172" s="546">
        <f>SUM(Q153:Q171)</f>
        <v>1238.3806</v>
      </c>
      <c r="S172" s="365" t="b">
        <f>ROUND(Q172,2)=ROUND(G172,2)</f>
        <v>0</v>
      </c>
      <c r="T172"/>
      <c r="U172"/>
      <c r="V172"/>
      <c r="W172"/>
    </row>
    <row r="173" spans="1:35" ht="18" customHeight="1" x14ac:dyDescent="0.25">
      <c r="A173" s="120">
        <f t="shared" si="26"/>
        <v>77</v>
      </c>
      <c r="B173" s="143"/>
      <c r="C173" s="143"/>
      <c r="D173" s="143"/>
      <c r="E173" s="143"/>
      <c r="F173" s="143"/>
      <c r="G173" s="143"/>
      <c r="H173" s="143"/>
      <c r="I173" s="143"/>
      <c r="J173" s="321"/>
      <c r="T173" s="364"/>
      <c r="U173"/>
      <c r="V173"/>
      <c r="W173"/>
    </row>
    <row r="174" spans="1:35" ht="18" customHeight="1" thickBot="1" x14ac:dyDescent="0.55000000000000004">
      <c r="A174" s="120">
        <f t="shared" si="26"/>
        <v>78</v>
      </c>
      <c r="C174" s="477" t="str">
        <f>+IF($K$2="EN",Text!$B$23,Text!$C$23)</f>
        <v>Offshore Wind</v>
      </c>
      <c r="D174" s="135"/>
      <c r="E174" s="135"/>
      <c r="F174" s="135"/>
      <c r="G174" s="135"/>
      <c r="H174" s="135"/>
      <c r="I174" s="135"/>
      <c r="J174" s="135"/>
      <c r="L174" s="471" t="str">
        <f>+IF($K$2="EN",Text!$B$15,Text!$C$15)</f>
        <v>Capacity Additions YTD</v>
      </c>
      <c r="M174" s="201"/>
      <c r="N174" s="201"/>
      <c r="O174" s="201"/>
      <c r="P174" s="201"/>
      <c r="Q174" s="201"/>
      <c r="S174" s="290"/>
      <c r="T174"/>
      <c r="U174"/>
      <c r="V174"/>
      <c r="W174"/>
    </row>
    <row r="175" spans="1:35" ht="18" customHeight="1" x14ac:dyDescent="0.25">
      <c r="A175" s="120">
        <f t="shared" si="26"/>
        <v>79</v>
      </c>
      <c r="G175" s="131"/>
      <c r="H175" s="481">
        <f>H102</f>
        <v>2025</v>
      </c>
      <c r="I175" s="131"/>
      <c r="L175" s="122"/>
      <c r="M175" s="122"/>
      <c r="N175" s="122"/>
      <c r="O175" s="122"/>
      <c r="P175" s="122"/>
      <c r="Q175" s="122"/>
      <c r="T175"/>
      <c r="U175"/>
      <c r="V175"/>
      <c r="W175"/>
    </row>
    <row r="176" spans="1:35" ht="18" customHeight="1" x14ac:dyDescent="0.25">
      <c r="A176" s="120">
        <f t="shared" si="26"/>
        <v>80</v>
      </c>
      <c r="C176" s="524" t="s">
        <v>9</v>
      </c>
      <c r="D176" s="418"/>
      <c r="E176" s="418"/>
      <c r="F176" s="492">
        <f>+Cur_Period</f>
        <v>2025</v>
      </c>
      <c r="G176" s="481" t="str">
        <f>+IF($K$2="EN",Text!$B$61,Text!$C$61)</f>
        <v>Additions</v>
      </c>
      <c r="H176" s="481" t="str">
        <f>+IF($K$2="EN",Text!$B$62,Text!$C$62)</f>
        <v>AR/Decom.</v>
      </c>
      <c r="I176" s="481" t="s">
        <v>8</v>
      </c>
      <c r="J176" s="481" t="str">
        <f>+IF($K$2="EN",Text!$B$63,Text!$C$63)</f>
        <v>U/C</v>
      </c>
      <c r="L176" s="524" t="str">
        <f>+IF($K$2="EN",Text!$B$53,Text!$C$53)</f>
        <v>Project</v>
      </c>
      <c r="M176" s="524"/>
      <c r="N176" s="524"/>
      <c r="O176" s="524" t="str">
        <f>+IF($K$2="EN",Text!$B$54,Text!$C$54)</f>
        <v>Country</v>
      </c>
      <c r="P176" s="481"/>
      <c r="Q176" s="549" t="s">
        <v>9</v>
      </c>
      <c r="T176"/>
      <c r="U176"/>
      <c r="V176"/>
      <c r="W176"/>
    </row>
    <row r="177" spans="1:23" ht="18" customHeight="1" x14ac:dyDescent="0.25">
      <c r="A177" s="120">
        <f t="shared" si="26"/>
        <v>81</v>
      </c>
      <c r="C177" s="421" t="str">
        <f>+IF($K$2="EN",Text!$B$29,Text!$C$29)</f>
        <v>Portugal</v>
      </c>
      <c r="D177" s="419"/>
      <c r="E177" s="419"/>
      <c r="F177" s="297" vm="112">
        <f>+[3]Backup!$J$321</f>
        <v>8.2113999999999994</v>
      </c>
      <c r="G177" s="350">
        <f>+'[2]Inst Capacity YTD Breakdown'!X6</f>
        <v>0</v>
      </c>
      <c r="H177" s="350">
        <f>+'[2]Inst Capacity YTD Breakdown'!Y6</f>
        <v>0</v>
      </c>
      <c r="I177" s="351">
        <f>SUM(G177:H177)</f>
        <v>0</v>
      </c>
      <c r="J177" s="298">
        <f>+[3]Backup!$J$509</f>
        <v>0</v>
      </c>
      <c r="K177" s="369"/>
      <c r="L177" s="419" t="str">
        <f>+'[2]YTD Additions by Project'!$C$78</f>
        <v>Noirmoutier</v>
      </c>
      <c r="M177" s="419"/>
      <c r="N177" s="419"/>
      <c r="O177" s="419" t="str">
        <f>+'[2]YTD Additions by Project'!$D$78</f>
        <v>France</v>
      </c>
      <c r="P177" s="419"/>
      <c r="Q177" s="327">
        <f>+'[2]YTD Additions by Project'!$F$78</f>
        <v>120.5</v>
      </c>
      <c r="T177"/>
      <c r="U177"/>
      <c r="V177"/>
      <c r="W177"/>
    </row>
    <row r="178" spans="1:23" ht="18" customHeight="1" x14ac:dyDescent="0.25">
      <c r="A178" s="120">
        <f t="shared" si="26"/>
        <v>82</v>
      </c>
      <c r="C178" s="421" t="str">
        <f>+IF($K$2="EN",Text!$B$31,Text!$C$31)</f>
        <v>France &amp; Belgium</v>
      </c>
      <c r="D178" s="419"/>
      <c r="E178" s="419"/>
      <c r="F178" s="297">
        <f>+[3]Backup!$J$323+[3]Backup!$J$324</f>
        <v>122.6125</v>
      </c>
      <c r="G178" s="350">
        <f>+'[2]Inst Capacity YTD Breakdown'!X7</f>
        <v>120.5</v>
      </c>
      <c r="H178" s="350">
        <f>+'[2]Inst Capacity YTD Breakdown'!Y7</f>
        <v>-40.5</v>
      </c>
      <c r="I178" s="351">
        <f>SUM(G178:H178)</f>
        <v>80</v>
      </c>
      <c r="J178" s="298">
        <f>+[3]Backup!$J$511+[3]Backup!$J$512</f>
        <v>179.64</v>
      </c>
      <c r="K178" s="369"/>
      <c r="L178" s="419"/>
      <c r="M178" s="419"/>
      <c r="N178" s="419"/>
      <c r="O178" s="448"/>
      <c r="P178" s="419"/>
      <c r="Q178" s="327"/>
      <c r="T178"/>
      <c r="U178"/>
      <c r="V178"/>
      <c r="W178"/>
    </row>
    <row r="179" spans="1:23" ht="18" customHeight="1" x14ac:dyDescent="0.25">
      <c r="A179" s="120">
        <f t="shared" si="26"/>
        <v>83</v>
      </c>
      <c r="C179" s="421" t="str">
        <f>+IF($K$2="EN",Text!$B$32,Text!$C$32)</f>
        <v>United Kingdom</v>
      </c>
      <c r="D179" s="419"/>
      <c r="E179" s="419"/>
      <c r="F179" s="297" vm="357">
        <f>+[3]Backup!$J$326</f>
        <v>608.95000000000005</v>
      </c>
      <c r="G179" s="350">
        <f>+'[2]Inst Capacity YTD Breakdown'!X8</f>
        <v>0</v>
      </c>
      <c r="H179" s="350">
        <f>+'[2]Inst Capacity YTD Breakdown'!Y8</f>
        <v>0</v>
      </c>
      <c r="I179" s="351">
        <f>SUM(G179:H179)</f>
        <v>0</v>
      </c>
      <c r="J179" s="298">
        <f>+[3]Backup!$J$514</f>
        <v>0</v>
      </c>
      <c r="K179" s="369"/>
      <c r="L179" s="419"/>
      <c r="M179" s="419"/>
      <c r="N179" s="419"/>
      <c r="O179" s="448"/>
      <c r="P179" s="419"/>
      <c r="Q179" s="327"/>
      <c r="T179"/>
      <c r="U179"/>
      <c r="V179"/>
      <c r="W179"/>
    </row>
    <row r="180" spans="1:23" ht="18" customHeight="1" x14ac:dyDescent="0.25">
      <c r="A180" s="120">
        <f t="shared" si="26"/>
        <v>84</v>
      </c>
      <c r="C180" s="421" t="str">
        <f>+IF($K$2="EN",Text!$B$33,Text!$C$33)</f>
        <v>Poland</v>
      </c>
      <c r="D180" s="419"/>
      <c r="E180" s="419"/>
      <c r="F180" s="297">
        <v>0</v>
      </c>
      <c r="G180" s="350">
        <v>0</v>
      </c>
      <c r="H180" s="350">
        <v>0</v>
      </c>
      <c r="I180" s="351">
        <f>SUM(G180:H180)</f>
        <v>0</v>
      </c>
      <c r="J180" s="298" vm="93">
        <f>+[3]Backup!$J$513</f>
        <v>195</v>
      </c>
      <c r="T180"/>
      <c r="U180"/>
      <c r="V180"/>
      <c r="W180"/>
    </row>
    <row r="181" spans="1:23" ht="18" customHeight="1" x14ac:dyDescent="0.25">
      <c r="A181" s="120">
        <f t="shared" si="26"/>
        <v>85</v>
      </c>
      <c r="C181" s="478" t="str">
        <f>+IF($K$2="EN",Text!$B$27,Text!$C$27)</f>
        <v>Europe</v>
      </c>
      <c r="D181" s="524"/>
      <c r="E181" s="524"/>
      <c r="F181" s="531">
        <f>+[3]Backup!$J$320</f>
        <v>739.77390000000003</v>
      </c>
      <c r="G181" s="532">
        <f>SUM(G177:G179)</f>
        <v>120.5</v>
      </c>
      <c r="H181" s="532">
        <f>SUM(H177:H179)</f>
        <v>-40.5</v>
      </c>
      <c r="I181" s="533">
        <f t="shared" ref="I181:I183" si="28">SUM(G181:H181)</f>
        <v>80</v>
      </c>
      <c r="J181" s="540">
        <f>+[3]Backup!$J$508</f>
        <v>374.64</v>
      </c>
      <c r="K181" s="369"/>
      <c r="L181" s="443"/>
      <c r="M181" s="443"/>
      <c r="N181" s="443"/>
      <c r="O181" s="443"/>
      <c r="P181" s="443"/>
      <c r="Q181" s="443"/>
      <c r="T181"/>
      <c r="U181"/>
      <c r="V181"/>
      <c r="W181"/>
    </row>
    <row r="182" spans="1:23" ht="18" customHeight="1" x14ac:dyDescent="0.35">
      <c r="A182" s="120">
        <f t="shared" si="26"/>
        <v>86</v>
      </c>
      <c r="C182" s="535" t="str">
        <f>+IF($K$2="EN",Text!$B$57,Text!$C$57)</f>
        <v>EDPR Eq. Consolidated</v>
      </c>
      <c r="D182" s="535"/>
      <c r="E182" s="535"/>
      <c r="F182" s="536" vm="342">
        <f>+[3]Backup!$J$318</f>
        <v>739.77390000000003</v>
      </c>
      <c r="G182" s="537">
        <f>G181</f>
        <v>120.5</v>
      </c>
      <c r="H182" s="537">
        <f>H181</f>
        <v>-40.5</v>
      </c>
      <c r="I182" s="538">
        <f t="shared" si="28"/>
        <v>80</v>
      </c>
      <c r="J182" s="555" vm="331">
        <f>+[3]Backup!$J$506</f>
        <v>374.64</v>
      </c>
      <c r="K182" s="369"/>
      <c r="L182" s="480" t="str">
        <f>+IF($K$2="EN",Text!$B$18,Text!$C$18)</f>
        <v>Offshore Wind Additions YTD</v>
      </c>
      <c r="M182" s="480"/>
      <c r="N182" s="480"/>
      <c r="O182" s="552"/>
      <c r="P182" s="553"/>
      <c r="Q182" s="546">
        <f>+Q177</f>
        <v>120.5</v>
      </c>
      <c r="S182" s="365" t="b">
        <f>ROUND(Q182,2)=ROUND(G182,2)</f>
        <v>1</v>
      </c>
      <c r="T182"/>
      <c r="U182"/>
      <c r="V182"/>
      <c r="W182"/>
    </row>
    <row r="183" spans="1:23" ht="18" customHeight="1" x14ac:dyDescent="0.25">
      <c r="A183" s="120">
        <f t="shared" si="26"/>
        <v>87</v>
      </c>
      <c r="C183" s="480" t="str">
        <f>+IF($K$2="EN",Text!$B$59,Text!$C$59)</f>
        <v>Ocean Winds Gross Capacity</v>
      </c>
      <c r="D183" s="480"/>
      <c r="E183" s="480"/>
      <c r="F183" s="536">
        <f>+[3]Backup!$J$328</f>
        <v>2744.2</v>
      </c>
      <c r="G183" s="537">
        <f>+Q183</f>
        <v>400</v>
      </c>
      <c r="H183" s="537">
        <v>0</v>
      </c>
      <c r="I183" s="538">
        <f t="shared" si="28"/>
        <v>400</v>
      </c>
      <c r="J183" s="541" vm="321">
        <f>+[3]Backup!$J$522</f>
        <v>1004</v>
      </c>
      <c r="K183" s="369"/>
      <c r="L183" s="480" t="str">
        <f>+IF($K$2="EN",Text!$B$19,Text!$C$19)</f>
        <v>Offshore Wind Gross Additions YTD</v>
      </c>
      <c r="M183" s="480"/>
      <c r="N183" s="480"/>
      <c r="O183" s="552"/>
      <c r="P183" s="553"/>
      <c r="Q183" s="546">
        <f>+[2]OW!$H$13</f>
        <v>400</v>
      </c>
      <c r="T183"/>
      <c r="U183"/>
      <c r="V183"/>
      <c r="W183"/>
    </row>
    <row r="184" spans="1:23" ht="18" customHeight="1" x14ac:dyDescent="0.25">
      <c r="A184" s="120">
        <f t="shared" si="26"/>
        <v>88</v>
      </c>
      <c r="D184" s="143"/>
      <c r="E184" s="143"/>
      <c r="F184" s="143"/>
      <c r="G184" s="143"/>
      <c r="H184" s="143"/>
      <c r="I184" s="143"/>
      <c r="J184" s="143"/>
      <c r="T184"/>
      <c r="U184"/>
      <c r="V184"/>
      <c r="W184"/>
    </row>
    <row r="185" spans="1:23" ht="18" customHeight="1" x14ac:dyDescent="0.25">
      <c r="A185" s="120">
        <f t="shared" si="26"/>
        <v>89</v>
      </c>
      <c r="C185" s="390" t="str">
        <f>+IF($K$2="EN",Text!$B$67,Text!$C$67)</f>
        <v xml:space="preserve">(1) Portfolio Equity adj. (2) Project transferred to EDP Produçao. (3) Adj. from 9M25 ODP from Equity to EBITDA. (4) Addition considers 50/61 turbines installed, remaining capacity will be added in 2026. (5) YTD variation considers </v>
      </c>
      <c r="T185"/>
      <c r="U185"/>
      <c r="V185"/>
      <c r="W185"/>
    </row>
    <row r="186" spans="1:23" ht="18" customHeight="1" x14ac:dyDescent="0.25">
      <c r="A186" s="120">
        <f t="shared" si="26"/>
        <v>90</v>
      </c>
      <c r="C186" s="390" t="str">
        <f>+IF($K$2="EN",Text!$B$68,Text!$C$68)</f>
        <v>the decom. of 33 MW in NA, 9 MW in APAC and 1 MW in France. Note: Solar includes Solar Utility Scale + DG and BESS. Solar capacity and solar load factors reported in MWac.</v>
      </c>
      <c r="N186" s="567" t="str">
        <f>+IF($K$2="EN",Text!$B$72,Text!$C$72)</f>
        <v>EDPR Investor Relations</v>
      </c>
      <c r="O186" s="567"/>
      <c r="P186" s="567"/>
      <c r="Q186" s="413" t="str">
        <f>+IF($K$2="EN",Text!$B$73,Text!$C$73)</f>
        <v>Phone: +34 900 830 004</v>
      </c>
      <c r="R186" s="229"/>
      <c r="T186"/>
      <c r="U186"/>
      <c r="V186"/>
      <c r="W186"/>
    </row>
    <row r="187" spans="1:23" ht="18" customHeight="1" x14ac:dyDescent="0.25">
      <c r="A187" s="120">
        <f t="shared" si="26"/>
        <v>91</v>
      </c>
      <c r="C187" s="415" t="str">
        <f>+IF($K$2="EN",Text!$B$76,Text!$C$76)</f>
        <v>EDP Renováveis, S.A. | Head office: Plaza del Fresno, 2 - 33007 Oviedo, Spain</v>
      </c>
      <c r="O187" s="567" t="str">
        <f>+IF($K$2="EN",Text!$B$75,Text!$C$75)</f>
        <v>Site: www.edpr-investors.com</v>
      </c>
      <c r="P187" s="567"/>
      <c r="Q187" s="413" t="str">
        <f>+IF($K$2="EN",Text!$B$74,Text!$C$74)</f>
        <v>Email: ir@edpr.com</v>
      </c>
      <c r="T187"/>
      <c r="U187"/>
      <c r="V187"/>
      <c r="W187"/>
    </row>
    <row r="188" spans="1:23" ht="18" customHeight="1" x14ac:dyDescent="0.25">
      <c r="T188"/>
      <c r="U188"/>
      <c r="V188"/>
      <c r="W188"/>
    </row>
    <row r="189" spans="1:23" ht="18" customHeight="1" x14ac:dyDescent="0.25">
      <c r="T189"/>
      <c r="U189"/>
      <c r="V189"/>
      <c r="W189"/>
    </row>
    <row r="190" spans="1:23" ht="18" customHeight="1" x14ac:dyDescent="0.25">
      <c r="T190"/>
      <c r="U190"/>
      <c r="V190"/>
      <c r="W190"/>
    </row>
    <row r="191" spans="1:23" ht="18" customHeight="1" x14ac:dyDescent="0.25">
      <c r="T191"/>
      <c r="U191"/>
      <c r="V191"/>
      <c r="W191"/>
    </row>
    <row r="192" spans="1:23" ht="18" customHeight="1" x14ac:dyDescent="0.25">
      <c r="I192" s="133"/>
      <c r="J192" s="133"/>
      <c r="L192" s="133"/>
    </row>
    <row r="193" spans="8:12" ht="18" customHeight="1" x14ac:dyDescent="0.25">
      <c r="H193" s="133"/>
      <c r="I193" s="133"/>
      <c r="J193" s="133"/>
      <c r="K193" s="215"/>
      <c r="L193" s="133"/>
    </row>
    <row r="194" spans="8:12" ht="18" customHeight="1" x14ac:dyDescent="0.25">
      <c r="I194" s="133"/>
      <c r="J194" s="133"/>
      <c r="L194" s="133"/>
    </row>
    <row r="195" spans="8:12" ht="18" customHeight="1" x14ac:dyDescent="0.25">
      <c r="I195" s="133"/>
      <c r="J195" s="133"/>
      <c r="K195" s="216"/>
      <c r="L195" s="133"/>
    </row>
  </sheetData>
  <mergeCells count="19">
    <mergeCell ref="K2:K4"/>
    <mergeCell ref="L30:Q30"/>
    <mergeCell ref="L72:N72"/>
    <mergeCell ref="O72:Q72"/>
    <mergeCell ref="M2:M4"/>
    <mergeCell ref="N2:N4"/>
    <mergeCell ref="N37:O39"/>
    <mergeCell ref="I46:J46"/>
    <mergeCell ref="L79:L80"/>
    <mergeCell ref="L77:L78"/>
    <mergeCell ref="L74:L75"/>
    <mergeCell ref="N57:O59"/>
    <mergeCell ref="O187:P187"/>
    <mergeCell ref="N186:P186"/>
    <mergeCell ref="N95:P95"/>
    <mergeCell ref="Q95:R95"/>
    <mergeCell ref="O96:P96"/>
    <mergeCell ref="L101:Q101"/>
    <mergeCell ref="N109:O111"/>
  </mergeCells>
  <phoneticPr fontId="55" type="noConversion"/>
  <pageMargins left="7.874015748031496E-2" right="0" top="0" bottom="0" header="0" footer="0"/>
  <pageSetup paperSize="7" scale="42" fitToHeight="0" orientation="portrait" r:id="rId1"/>
  <headerFooter scaleWithDoc="0" alignWithMargins="0"/>
  <rowBreaks count="1" manualBreakCount="1">
    <brk id="96" max="16383"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4AA5-237A-4A8B-AE82-5385A0CEF7E0}">
  <sheetPr>
    <pageSetUpPr fitToPage="1"/>
  </sheetPr>
  <dimension ref="A1:AI195"/>
  <sheetViews>
    <sheetView showGridLines="0" view="pageBreakPreview" zoomScale="70" zoomScaleNormal="70" zoomScaleSheetLayoutView="80" workbookViewId="0"/>
  </sheetViews>
  <sheetFormatPr defaultColWidth="12.54296875" defaultRowHeight="18" customHeight="1" x14ac:dyDescent="0.25"/>
  <cols>
    <col min="1" max="1" width="4.81640625" style="120" customWidth="1"/>
    <col min="2" max="18" width="12.81640625" style="121" customWidth="1"/>
    <col min="19" max="19" width="12.54296875" style="121" customWidth="1"/>
    <col min="20" max="20" width="28.54296875" style="121" bestFit="1" customWidth="1"/>
    <col min="21" max="21" width="10.54296875" style="121" customWidth="1"/>
    <col min="22" max="22" width="11.1796875" style="121" bestFit="1" customWidth="1"/>
    <col min="23" max="27" width="10.54296875" style="121" customWidth="1"/>
    <col min="28" max="28" width="17.54296875" style="121" bestFit="1" customWidth="1"/>
    <col min="29" max="16384" width="12.54296875" style="121"/>
  </cols>
  <sheetData>
    <row r="1" spans="1:31" ht="18" customHeight="1" thickBot="1" x14ac:dyDescent="0.3">
      <c r="H1" s="122"/>
      <c r="I1" s="122"/>
      <c r="Y1" s="123"/>
      <c r="Z1" s="123"/>
      <c r="AA1" s="123"/>
      <c r="AB1" s="123"/>
      <c r="AC1" s="123"/>
      <c r="AD1" s="123"/>
    </row>
    <row r="2" spans="1:31" ht="18" customHeight="1" thickBot="1" x14ac:dyDescent="0.3">
      <c r="B2" s="230" t="s">
        <v>1</v>
      </c>
      <c r="C2" s="231">
        <v>2025</v>
      </c>
      <c r="D2" s="232" t="str">
        <f>RIGHT(Cur_Period,2)</f>
        <v>25</v>
      </c>
      <c r="E2" s="232">
        <f>+Cur_Period</f>
        <v>2025</v>
      </c>
      <c r="F2" s="232" t="s">
        <v>192</v>
      </c>
      <c r="G2" s="230" t="s">
        <v>2</v>
      </c>
      <c r="H2" s="233">
        <v>2025</v>
      </c>
      <c r="I2" s="122"/>
      <c r="K2" s="575" t="s">
        <v>55</v>
      </c>
      <c r="M2" s="582" t="s">
        <v>4</v>
      </c>
      <c r="N2" s="585"/>
      <c r="P2" s="230"/>
      <c r="Q2" s="410"/>
      <c r="R2" s="410"/>
      <c r="Y2" s="123"/>
      <c r="Z2" s="123"/>
      <c r="AA2" s="123"/>
      <c r="AB2" s="123"/>
      <c r="AC2" s="123"/>
      <c r="AD2" s="123"/>
    </row>
    <row r="3" spans="1:31" ht="18" customHeight="1" thickBot="1" x14ac:dyDescent="0.3">
      <c r="B3" s="230" t="s">
        <v>5</v>
      </c>
      <c r="C3" s="231">
        <v>2024</v>
      </c>
      <c r="D3" s="232" t="str">
        <f>RIGHT(Pre_Period,2)</f>
        <v>24</v>
      </c>
      <c r="E3" s="232">
        <f>+Pre_Period</f>
        <v>2024</v>
      </c>
      <c r="F3" s="232" t="s">
        <v>193</v>
      </c>
      <c r="G3" s="122"/>
      <c r="H3" s="122"/>
      <c r="I3" s="122"/>
      <c r="K3" s="576"/>
      <c r="M3" s="583"/>
      <c r="N3" s="586"/>
      <c r="P3" s="230"/>
      <c r="Q3" s="410"/>
      <c r="R3" s="410"/>
      <c r="Y3" s="123"/>
      <c r="Z3" s="123"/>
      <c r="AA3" s="123"/>
      <c r="AB3" s="123"/>
      <c r="AC3" s="123"/>
      <c r="AD3" s="123"/>
    </row>
    <row r="4" spans="1:31" ht="18" customHeight="1" thickBot="1" x14ac:dyDescent="0.3">
      <c r="H4" s="376"/>
      <c r="K4" s="577"/>
      <c r="M4" s="584"/>
      <c r="N4" s="587"/>
    </row>
    <row r="6" spans="1:31" ht="18" customHeight="1" x14ac:dyDescent="0.3">
      <c r="A6" s="120">
        <v>1</v>
      </c>
      <c r="D6" s="124"/>
      <c r="E6" s="124"/>
      <c r="F6" s="124"/>
      <c r="G6" s="124"/>
      <c r="H6" s="124"/>
      <c r="I6" s="124"/>
      <c r="J6" s="124"/>
      <c r="K6" s="124"/>
      <c r="L6" s="124"/>
      <c r="M6" s="124"/>
      <c r="N6" s="124"/>
      <c r="O6" s="124"/>
      <c r="P6" s="124"/>
      <c r="Q6" s="124"/>
      <c r="R6" s="124"/>
      <c r="S6" s="124"/>
      <c r="T6" s="347" t="s">
        <v>6</v>
      </c>
      <c r="U6" s="346" t="s">
        <v>199</v>
      </c>
      <c r="V6" s="367"/>
      <c r="W6" s="124"/>
      <c r="X6" s="124"/>
      <c r="Z6" s="125"/>
      <c r="AA6" s="126"/>
      <c r="AB6" s="126"/>
    </row>
    <row r="7" spans="1:31" ht="51" customHeight="1" x14ac:dyDescent="0.25">
      <c r="A7" s="120">
        <f t="shared" ref="A7:A70" si="0">A6+1</f>
        <v>2</v>
      </c>
      <c r="C7" s="473" t="str">
        <f>+IF($K$2="EN",Text!$B$2,Text!$C$2)</f>
        <v>Dados Operacionais Previsionais 2025</v>
      </c>
      <c r="I7" s="411"/>
      <c r="L7" s="129"/>
      <c r="M7" s="268" t="str">
        <f>+IF($N$2="YES","DRAFT","")</f>
        <v/>
      </c>
      <c r="N7" s="412"/>
    </row>
    <row r="8" spans="1:31" ht="18" customHeight="1" thickBot="1" x14ac:dyDescent="0.4">
      <c r="A8" s="120">
        <f t="shared" si="0"/>
        <v>3</v>
      </c>
      <c r="C8" s="472" t="str">
        <f>+IF($K$2="EN",Text!$B$5,Text!$C$5)</f>
        <v>Madrid, 22 de janeiro de 2026</v>
      </c>
      <c r="D8" s="131"/>
      <c r="E8" s="131"/>
      <c r="F8" s="131"/>
      <c r="G8" s="131"/>
      <c r="H8" s="131"/>
      <c r="I8" s="131"/>
      <c r="J8" s="131"/>
      <c r="K8" s="131"/>
      <c r="L8" s="131"/>
      <c r="M8" s="131"/>
      <c r="N8" s="131"/>
      <c r="O8" s="131"/>
      <c r="P8" s="131"/>
      <c r="Q8" s="131"/>
      <c r="T8" s="254" t="s">
        <v>7</v>
      </c>
      <c r="U8" s="132"/>
      <c r="V8" s="132"/>
      <c r="W8" s="132"/>
      <c r="X8" s="132"/>
      <c r="Y8" s="132"/>
      <c r="Z8" s="122"/>
      <c r="AA8" s="126"/>
      <c r="AB8" s="126"/>
    </row>
    <row r="9" spans="1:31" ht="18" customHeight="1" x14ac:dyDescent="0.25">
      <c r="A9" s="120">
        <f t="shared" si="0"/>
        <v>4</v>
      </c>
      <c r="U9" s="256"/>
      <c r="V9" s="256"/>
      <c r="W9" s="256"/>
      <c r="X9" s="133"/>
      <c r="AA9" s="126"/>
      <c r="AB9" s="126"/>
    </row>
    <row r="10" spans="1:31" ht="18" customHeight="1" thickBot="1" x14ac:dyDescent="0.55000000000000004">
      <c r="A10" s="120">
        <f t="shared" si="0"/>
        <v>5</v>
      </c>
      <c r="C10" s="471" t="str">
        <f>+IF($K$2="EN",Text!$B$6,Text!$C$6)</f>
        <v>Principais Destaques</v>
      </c>
      <c r="D10" s="135"/>
      <c r="E10" s="135"/>
      <c r="F10" s="135"/>
      <c r="G10" s="135"/>
      <c r="H10" s="135"/>
      <c r="I10" s="135"/>
      <c r="J10" s="135"/>
      <c r="K10" s="135"/>
      <c r="L10" s="135"/>
      <c r="M10" s="135"/>
      <c r="N10" s="135"/>
      <c r="O10" s="135"/>
      <c r="P10" s="135"/>
      <c r="Q10" s="135"/>
      <c r="T10" s="136"/>
      <c r="U10" s="137" t="s">
        <v>9</v>
      </c>
      <c r="V10" s="137" t="s">
        <v>10</v>
      </c>
      <c r="W10" s="137" t="s">
        <v>11</v>
      </c>
      <c r="X10" s="137" t="s">
        <v>12</v>
      </c>
      <c r="Y10" s="137" t="s">
        <v>13</v>
      </c>
      <c r="Z10" s="137" t="s">
        <v>202</v>
      </c>
      <c r="AA10" s="126"/>
      <c r="AB10" s="126"/>
    </row>
    <row r="11" spans="1:31" ht="18" customHeight="1" x14ac:dyDescent="0.25">
      <c r="A11" s="120">
        <f t="shared" si="0"/>
        <v>6</v>
      </c>
      <c r="C11" s="133"/>
      <c r="T11" s="138" t="s">
        <v>14</v>
      </c>
      <c r="U11" s="139">
        <f>+F37</f>
        <v>20390.958000000017</v>
      </c>
      <c r="V11" s="139">
        <f>+F37/1000</f>
        <v>20.390958000000015</v>
      </c>
      <c r="W11" s="139"/>
      <c r="X11" s="141">
        <f>+F37/G37-1</f>
        <v>5.5684377398410367E-2</v>
      </c>
      <c r="Y11" s="139">
        <f>+J37/1000</f>
        <v>1.0755657000000001</v>
      </c>
      <c r="Z11" s="252">
        <f>+V11-[1]EN!$V$11</f>
        <v>0.58837449999999691</v>
      </c>
      <c r="AA11" s="126"/>
    </row>
    <row r="12" spans="1:31" ht="18" customHeight="1" x14ac:dyDescent="0.25">
      <c r="A12" s="120">
        <f t="shared" si="0"/>
        <v>7</v>
      </c>
      <c r="C12" s="133"/>
      <c r="T12" s="140" t="s">
        <v>15</v>
      </c>
      <c r="U12" s="139"/>
      <c r="V12" s="139"/>
      <c r="W12" s="139"/>
      <c r="X12" s="141">
        <f>Charts!C28</f>
        <v>0.32387077644905132</v>
      </c>
      <c r="Y12" s="139"/>
      <c r="AA12" s="126"/>
    </row>
    <row r="13" spans="1:31" ht="18" customHeight="1" x14ac:dyDescent="0.25">
      <c r="A13" s="120">
        <f t="shared" si="0"/>
        <v>8</v>
      </c>
      <c r="C13" s="133"/>
      <c r="T13" s="140" t="s">
        <v>16</v>
      </c>
      <c r="U13" s="139"/>
      <c r="V13" s="139"/>
      <c r="W13" s="139"/>
      <c r="X13" s="141">
        <f>Charts!C29</f>
        <v>0.53010614312481086</v>
      </c>
      <c r="Y13" s="139"/>
    </row>
    <row r="14" spans="1:31" ht="18" customHeight="1" x14ac:dyDescent="0.25">
      <c r="A14" s="120">
        <f t="shared" si="0"/>
        <v>9</v>
      </c>
      <c r="C14" s="133"/>
      <c r="T14" s="140" t="s">
        <v>17</v>
      </c>
      <c r="U14" s="139"/>
      <c r="V14" s="139"/>
      <c r="W14" s="139"/>
      <c r="X14" s="141">
        <f>Charts!C30</f>
        <v>8.9540187371284788E-2</v>
      </c>
      <c r="Y14" s="139"/>
      <c r="AA14" s="122"/>
      <c r="AB14" s="122"/>
      <c r="AC14" s="122"/>
      <c r="AD14" s="122"/>
      <c r="AE14" s="122"/>
    </row>
    <row r="15" spans="1:31" ht="18" customHeight="1" x14ac:dyDescent="0.25">
      <c r="A15" s="120">
        <f t="shared" si="0"/>
        <v>10</v>
      </c>
      <c r="C15" s="133"/>
      <c r="T15" s="140" t="s">
        <v>18</v>
      </c>
      <c r="U15" s="395"/>
      <c r="V15" s="139"/>
      <c r="W15" s="139"/>
      <c r="X15" s="141">
        <f>Charts!C31</f>
        <v>5.6482893054852996E-2</v>
      </c>
      <c r="Y15" s="139"/>
      <c r="AA15" s="122"/>
      <c r="AB15" s="122"/>
      <c r="AC15" s="122"/>
      <c r="AD15" s="122"/>
      <c r="AE15" s="122"/>
    </row>
    <row r="16" spans="1:31" ht="18" customHeight="1" x14ac:dyDescent="0.25">
      <c r="A16" s="120">
        <f t="shared" si="0"/>
        <v>11</v>
      </c>
      <c r="C16" s="133"/>
      <c r="T16" s="138" t="s">
        <v>19</v>
      </c>
      <c r="U16" s="183">
        <f>+H37</f>
        <v>1969.3302000000001</v>
      </c>
      <c r="V16" s="139">
        <f>+U16/1000</f>
        <v>1.9693302000000001</v>
      </c>
      <c r="W16" s="139"/>
      <c r="X16" s="560">
        <f>+U16/G37</f>
        <v>0.10195652043807285</v>
      </c>
      <c r="Y16" s="139">
        <f>+H37/1000</f>
        <v>1.9693302000000001</v>
      </c>
      <c r="Z16" s="252">
        <f>+V16-[1]EN!$V16</f>
        <v>-1.2887848999999998</v>
      </c>
      <c r="AA16" s="122"/>
      <c r="AB16" s="122"/>
      <c r="AC16" s="122"/>
      <c r="AD16" s="122"/>
      <c r="AE16" s="122"/>
    </row>
    <row r="17" spans="1:32" ht="18" customHeight="1" x14ac:dyDescent="0.25">
      <c r="A17" s="120">
        <f t="shared" si="0"/>
        <v>12</v>
      </c>
      <c r="C17" s="133"/>
      <c r="T17" s="140" t="s">
        <v>15</v>
      </c>
      <c r="U17" s="139">
        <f>+H33</f>
        <v>629.80150000000003</v>
      </c>
      <c r="V17" s="139">
        <f>+H33/10^3</f>
        <v>0.62980150000000001</v>
      </c>
      <c r="W17" s="139"/>
      <c r="X17" s="141">
        <f>+U17/$U$16</f>
        <v>0.31980492656843429</v>
      </c>
      <c r="Y17" s="141"/>
      <c r="AA17" s="122"/>
      <c r="AB17" s="122"/>
      <c r="AC17" s="122"/>
      <c r="AD17" s="122"/>
      <c r="AE17" s="122"/>
    </row>
    <row r="18" spans="1:32" ht="18" customHeight="1" x14ac:dyDescent="0.25">
      <c r="A18" s="120">
        <f t="shared" si="0"/>
        <v>13</v>
      </c>
      <c r="C18" s="133"/>
      <c r="T18" s="140" t="s">
        <v>16</v>
      </c>
      <c r="U18" s="139">
        <f>+H34</f>
        <v>1076.0496000000001</v>
      </c>
      <c r="V18" s="139">
        <f>+H34/10^3</f>
        <v>1.0760496000000002</v>
      </c>
      <c r="W18" s="139"/>
      <c r="X18" s="141">
        <f t="shared" ref="X18:X20" si="1">+U18/$U$16</f>
        <v>0.54640384837443712</v>
      </c>
      <c r="Y18" s="141"/>
      <c r="AA18" s="122"/>
      <c r="AB18" s="122"/>
      <c r="AC18" s="122"/>
      <c r="AD18" s="122"/>
      <c r="AE18" s="122"/>
    </row>
    <row r="19" spans="1:32" ht="18" customHeight="1" x14ac:dyDescent="0.25">
      <c r="A19" s="120">
        <f t="shared" si="0"/>
        <v>14</v>
      </c>
      <c r="C19" s="133"/>
      <c r="T19" s="140" t="s">
        <v>17</v>
      </c>
      <c r="U19" s="139">
        <f>+H35</f>
        <v>123.9</v>
      </c>
      <c r="V19" s="139">
        <f>+H35/10^3</f>
        <v>0.12390000000000001</v>
      </c>
      <c r="W19" s="139"/>
      <c r="X19" s="141">
        <f t="shared" si="1"/>
        <v>6.2914792044523563E-2</v>
      </c>
      <c r="Y19" s="141"/>
      <c r="AA19" s="122"/>
      <c r="AB19" s="122"/>
      <c r="AC19" s="122"/>
      <c r="AD19" s="122"/>
      <c r="AE19" s="122"/>
    </row>
    <row r="20" spans="1:32" ht="18" customHeight="1" x14ac:dyDescent="0.25">
      <c r="A20" s="120">
        <f t="shared" si="0"/>
        <v>15</v>
      </c>
      <c r="C20" s="133"/>
      <c r="T20" s="140" t="s">
        <v>18</v>
      </c>
      <c r="U20" s="139">
        <f>+H36</f>
        <v>139.57910000000001</v>
      </c>
      <c r="V20" s="139">
        <f>+H36/10^3</f>
        <v>0.13957910000000001</v>
      </c>
      <c r="W20" s="139"/>
      <c r="X20" s="141">
        <f t="shared" si="1"/>
        <v>7.0876433012605003E-2</v>
      </c>
      <c r="Y20" s="141"/>
      <c r="AA20" s="122"/>
      <c r="AB20" s="122"/>
      <c r="AC20" s="122"/>
      <c r="AD20" s="122"/>
      <c r="AE20" s="122"/>
    </row>
    <row r="21" spans="1:32" ht="18" customHeight="1" x14ac:dyDescent="0.25">
      <c r="A21" s="120">
        <f t="shared" si="0"/>
        <v>16</v>
      </c>
      <c r="C21" s="133"/>
      <c r="T21" s="138" t="s">
        <v>20</v>
      </c>
      <c r="U21" s="265">
        <f>+H126</f>
        <v>-893.76439999999991</v>
      </c>
      <c r="V21" s="264">
        <f>+U21/1000</f>
        <v>-0.8937643999999999</v>
      </c>
      <c r="W21" s="150"/>
      <c r="X21" s="150"/>
      <c r="Y21" s="264">
        <f>+I37/1000</f>
        <v>-0.89376449999999985</v>
      </c>
      <c r="Z21" s="252">
        <f>+V21-[1]EN!$V21</f>
        <v>-0.6483469999999999</v>
      </c>
      <c r="AA21" s="122"/>
      <c r="AB21" s="122"/>
      <c r="AC21" s="122"/>
      <c r="AD21" s="122"/>
      <c r="AE21" s="122"/>
    </row>
    <row r="22" spans="1:32" ht="18" customHeight="1" x14ac:dyDescent="0.25">
      <c r="A22" s="120">
        <f t="shared" si="0"/>
        <v>17</v>
      </c>
      <c r="C22" s="133"/>
      <c r="T22" s="138" t="s">
        <v>21</v>
      </c>
      <c r="U22" s="139">
        <f>+J126</f>
        <v>1648.3712</v>
      </c>
      <c r="V22" s="139">
        <f>+J126/1000</f>
        <v>1.6483712000000001</v>
      </c>
      <c r="W22" s="139"/>
      <c r="X22" s="150"/>
      <c r="Y22" s="139"/>
      <c r="Z22" s="252">
        <f>+V22-[1]EN!$V22</f>
        <v>-0.69654609999999995</v>
      </c>
      <c r="AA22" s="122"/>
      <c r="AB22" s="122"/>
      <c r="AC22" s="122"/>
      <c r="AD22" s="122"/>
      <c r="AE22" s="122"/>
    </row>
    <row r="23" spans="1:32" ht="18" customHeight="1" x14ac:dyDescent="0.25">
      <c r="A23" s="120">
        <f t="shared" si="0"/>
        <v>18</v>
      </c>
      <c r="C23" s="133"/>
      <c r="T23" s="140" t="s">
        <v>22</v>
      </c>
      <c r="U23" s="139">
        <f>+'[2]DH UC'!$O$31</f>
        <v>238.5</v>
      </c>
      <c r="V23" s="139">
        <f>+U23/10^3</f>
        <v>0.23849999999999999</v>
      </c>
      <c r="W23" s="150"/>
      <c r="X23" s="325">
        <f>+V23/V22</f>
        <v>0.14468828380403637</v>
      </c>
      <c r="Y23" s="150"/>
      <c r="AA23" s="122"/>
      <c r="AB23" s="122"/>
      <c r="AC23" s="122"/>
      <c r="AD23" s="122"/>
      <c r="AE23" s="122"/>
    </row>
    <row r="24" spans="1:32" ht="18" customHeight="1" x14ac:dyDescent="0.25">
      <c r="A24" s="120">
        <f t="shared" si="0"/>
        <v>19</v>
      </c>
      <c r="C24" s="133"/>
      <c r="T24" s="140" t="s">
        <v>23</v>
      </c>
      <c r="U24" s="139">
        <f>+'[2]DH UC'!$O$19</f>
        <v>704.2</v>
      </c>
      <c r="V24" s="139">
        <f t="shared" ref="V24:V27" si="2">+U24/10^3</f>
        <v>0.70420000000000005</v>
      </c>
      <c r="W24" s="150"/>
      <c r="X24" s="325">
        <f>+V24/V22</f>
        <v>0.42720959939120506</v>
      </c>
      <c r="Y24" s="150"/>
      <c r="AA24" s="122"/>
      <c r="AB24" s="122"/>
      <c r="AC24" s="122"/>
      <c r="AD24" s="122"/>
      <c r="AE24" s="122"/>
    </row>
    <row r="25" spans="1:32" ht="18" customHeight="1" x14ac:dyDescent="0.25">
      <c r="A25" s="120">
        <f t="shared" si="0"/>
        <v>20</v>
      </c>
      <c r="C25" s="133"/>
      <c r="T25" s="140" t="s">
        <v>24</v>
      </c>
      <c r="U25" s="139">
        <f>+'[2]DH UC'!$O$10</f>
        <v>45.466200000000008</v>
      </c>
      <c r="V25" s="139">
        <f t="shared" si="2"/>
        <v>4.5466200000000005E-2</v>
      </c>
      <c r="AA25" s="122"/>
      <c r="AB25" s="122"/>
      <c r="AC25" s="122"/>
      <c r="AD25" s="122"/>
      <c r="AE25" s="122"/>
    </row>
    <row r="26" spans="1:32" ht="18" customHeight="1" x14ac:dyDescent="0.25">
      <c r="A26" s="120">
        <f t="shared" si="0"/>
        <v>21</v>
      </c>
      <c r="T26" s="140" t="s">
        <v>25</v>
      </c>
      <c r="U26" s="139">
        <f>+'[2]DH UC'!$O$24</f>
        <v>285.565</v>
      </c>
      <c r="V26" s="139">
        <f t="shared" si="2"/>
        <v>0.28556500000000001</v>
      </c>
      <c r="AA26" s="122"/>
      <c r="AB26" s="122"/>
      <c r="AC26" s="122"/>
      <c r="AD26" s="122"/>
      <c r="AE26" s="122"/>
    </row>
    <row r="27" spans="1:32" ht="18" customHeight="1" x14ac:dyDescent="0.25">
      <c r="A27" s="120">
        <f t="shared" si="0"/>
        <v>22</v>
      </c>
      <c r="T27" s="140" t="s">
        <v>26</v>
      </c>
      <c r="U27" s="139">
        <f>+'[2]DH UC'!$O$15+'[2]DH UC'!$O$17</f>
        <v>374.64</v>
      </c>
      <c r="V27" s="139">
        <f t="shared" si="2"/>
        <v>0.37463999999999997</v>
      </c>
      <c r="AA27" s="122"/>
      <c r="AB27" s="122"/>
      <c r="AC27" s="122"/>
      <c r="AD27" s="122"/>
      <c r="AE27" s="122"/>
    </row>
    <row r="28" spans="1:32" ht="18" customHeight="1" x14ac:dyDescent="0.25">
      <c r="A28" s="120">
        <f t="shared" si="0"/>
        <v>23</v>
      </c>
      <c r="T28" s="138" t="s">
        <v>27</v>
      </c>
      <c r="U28" s="139"/>
      <c r="V28" s="139"/>
      <c r="W28" s="139">
        <f>G64/1000</f>
        <v>40.603773629499997</v>
      </c>
      <c r="X28" s="150"/>
      <c r="Y28" s="141">
        <f>J64</f>
        <v>0.11086546832301991</v>
      </c>
      <c r="Z28" s="252">
        <f>+W28-[1]EN!$W28</f>
        <v>10.419311596599989</v>
      </c>
      <c r="AA28" s="122"/>
      <c r="AB28" s="122"/>
      <c r="AC28" s="122"/>
      <c r="AD28" s="122"/>
      <c r="AE28" s="122"/>
    </row>
    <row r="29" spans="1:32" ht="18" customHeight="1" x14ac:dyDescent="0.25">
      <c r="A29" s="120">
        <f t="shared" si="0"/>
        <v>24</v>
      </c>
      <c r="T29" s="138" t="s">
        <v>28</v>
      </c>
      <c r="U29" s="139"/>
      <c r="V29" s="139"/>
      <c r="W29" s="139"/>
      <c r="X29" s="141" vm="233">
        <f>F84</f>
        <v>0.27716056530796901</v>
      </c>
      <c r="Y29" s="142">
        <f>+H84</f>
        <v>-0.23375379939826191</v>
      </c>
      <c r="Z29" s="142">
        <f>+X29-[1]EN!$X29</f>
        <v>-3.0615163783914712E-4</v>
      </c>
      <c r="AA29" s="122"/>
      <c r="AB29" s="122"/>
      <c r="AC29" s="122"/>
      <c r="AD29" s="122"/>
      <c r="AE29" s="122"/>
      <c r="AF29" s="146"/>
    </row>
    <row r="30" spans="1:32" ht="18" customHeight="1" thickBot="1" x14ac:dyDescent="0.55000000000000004">
      <c r="A30" s="120">
        <f t="shared" si="0"/>
        <v>25</v>
      </c>
      <c r="C30" s="477" t="str">
        <f>+IF($K$2="EN",Text!$B$7,Text!$C$7)</f>
        <v>Capacidade Instalada</v>
      </c>
      <c r="D30" s="145"/>
      <c r="E30" s="145"/>
      <c r="F30" s="145"/>
      <c r="G30" s="145"/>
      <c r="H30" s="145"/>
      <c r="I30" s="145"/>
      <c r="J30" s="145"/>
      <c r="L30" s="570" t="str">
        <f>+IF($K$2="EN",Text!$B$8,Text!$C$8)</f>
        <v>Capacidade Instalada por Região</v>
      </c>
      <c r="M30" s="570"/>
      <c r="N30" s="570"/>
      <c r="O30" s="570"/>
      <c r="P30" s="570"/>
      <c r="Q30" s="570"/>
      <c r="T30" s="138" t="s">
        <v>29</v>
      </c>
      <c r="U30" s="150"/>
      <c r="V30" s="150"/>
      <c r="W30" s="150"/>
      <c r="X30" s="141">
        <f>O88</f>
        <v>0.94718714126695358</v>
      </c>
      <c r="Y30" s="142">
        <f>+Q88</f>
        <v>-2.9190965008340952</v>
      </c>
      <c r="Z30" s="142">
        <f>+X30-[1]EN!$X30</f>
        <v>-1.0435172364641088E-2</v>
      </c>
      <c r="AA30" s="122"/>
      <c r="AB30" s="122"/>
      <c r="AC30" s="122"/>
      <c r="AD30" s="122"/>
      <c r="AE30" s="122"/>
      <c r="AF30" s="146"/>
    </row>
    <row r="31" spans="1:32" ht="18" customHeight="1" x14ac:dyDescent="0.25">
      <c r="A31" s="120">
        <f t="shared" si="0"/>
        <v>26</v>
      </c>
      <c r="G31" s="288"/>
      <c r="H31" s="315"/>
      <c r="T31" s="138" t="s">
        <v>22</v>
      </c>
      <c r="U31" s="150"/>
      <c r="V31" s="139">
        <f>F148/1000</f>
        <v>13.134372000000001</v>
      </c>
      <c r="W31" s="150"/>
      <c r="X31" s="326"/>
      <c r="Y31" s="150"/>
      <c r="AB31" s="122"/>
      <c r="AC31" s="122"/>
      <c r="AD31" s="122"/>
      <c r="AE31" s="122"/>
    </row>
    <row r="32" spans="1:32" ht="18" customHeight="1" x14ac:dyDescent="0.25">
      <c r="A32" s="120">
        <f t="shared" si="0"/>
        <v>27</v>
      </c>
      <c r="C32" s="478" t="str">
        <f>+IF($K$2="EN",Text!$B$58,Text!$C$58)</f>
        <v>EBITDA + Eq. MW</v>
      </c>
      <c r="D32" s="418"/>
      <c r="E32" s="418"/>
      <c r="F32" s="481">
        <f>+Cur_Period</f>
        <v>2025</v>
      </c>
      <c r="G32" s="481">
        <f>Pre_Period</f>
        <v>2024</v>
      </c>
      <c r="H32" s="481" t="str">
        <f>+IF($K$2="EN",Text!$B$61,Text!$C$61)</f>
        <v>Adições</v>
      </c>
      <c r="I32" s="563" t="str">
        <f>+IF($K$2="EN",Text!$B$62,Text!$C$62)</f>
        <v>RdA/Descom.</v>
      </c>
      <c r="J32" s="481" t="s">
        <v>13</v>
      </c>
      <c r="T32" s="138" t="s">
        <v>30</v>
      </c>
      <c r="U32" s="150"/>
      <c r="V32" s="139">
        <f>F172/1000</f>
        <v>6.5168120999999921</v>
      </c>
      <c r="W32" s="150"/>
      <c r="X32" s="326"/>
      <c r="Y32" s="150"/>
      <c r="AB32" s="122"/>
      <c r="AC32" s="122"/>
      <c r="AD32" s="122"/>
      <c r="AE32" s="122"/>
    </row>
    <row r="33" spans="1:34" ht="18" customHeight="1" x14ac:dyDescent="0.25">
      <c r="A33" s="120">
        <f t="shared" si="0"/>
        <v>28</v>
      </c>
      <c r="C33" s="479" t="str">
        <f>+IF($K$2="EN",Text!$B$27,Text!$C$27)</f>
        <v>Europa</v>
      </c>
      <c r="D33" s="419"/>
      <c r="E33" s="419"/>
      <c r="F33" s="482">
        <f>SUMIFS($F$104:$F$126,$C$104:$C$126,$C33)</f>
        <v>6604.0354000000007</v>
      </c>
      <c r="G33" s="483">
        <f>+[3]Backup!$F$13</f>
        <v>6814.054900000001</v>
      </c>
      <c r="H33" s="484">
        <f>+'[2]Inst Capacity YoY'!$C$5</f>
        <v>629.80150000000003</v>
      </c>
      <c r="I33" s="485">
        <f>+'[2]Inst Capacity YoY'!$D$5</f>
        <v>-839.82099999999991</v>
      </c>
      <c r="J33" s="486">
        <f>+'[2]Inst Capacity YoY'!$E$5</f>
        <v>-210.01949999999988</v>
      </c>
      <c r="T33" s="138" t="s">
        <v>31</v>
      </c>
      <c r="U33" s="150"/>
      <c r="V33" s="139">
        <f>F183/1000</f>
        <v>2.7441999999999998</v>
      </c>
      <c r="W33" s="150"/>
      <c r="X33" s="326"/>
      <c r="Y33" s="150"/>
      <c r="AB33" s="122"/>
      <c r="AC33" s="122"/>
      <c r="AD33" s="122"/>
      <c r="AE33" s="122"/>
    </row>
    <row r="34" spans="1:34" ht="18" customHeight="1" x14ac:dyDescent="0.3">
      <c r="A34" s="120">
        <f t="shared" si="0"/>
        <v>29</v>
      </c>
      <c r="C34" s="479" t="str">
        <f>+IF($K$2="EN",Text!$B$34,Text!$C$34)</f>
        <v>América do Norte</v>
      </c>
      <c r="D34" s="419"/>
      <c r="E34" s="419"/>
      <c r="F34" s="482">
        <f>SUMIFS($F$104:$F$126,$C$104:$C$126,$C34)</f>
        <v>10809.372100000015</v>
      </c>
      <c r="G34" s="483">
        <f>+[3]Backup!$F$28</f>
        <v>9766.4685000000281</v>
      </c>
      <c r="H34" s="484">
        <f>+'[2]Inst Capacity YoY'!$C$6</f>
        <v>1076.0496000000001</v>
      </c>
      <c r="I34" s="485">
        <f>+'[2]Inst Capacity YoY'!$D$6</f>
        <v>-33.146000000000001</v>
      </c>
      <c r="J34" s="486">
        <f>+'[2]Inst Capacity YoY'!$E$6</f>
        <v>1042.9036000000001</v>
      </c>
      <c r="K34" s="266"/>
      <c r="S34" s="154"/>
      <c r="T34" s="138" t="s">
        <v>21</v>
      </c>
      <c r="U34" s="264">
        <f>+J126</f>
        <v>1648.3712</v>
      </c>
      <c r="V34" s="264">
        <f>+U34/10^3</f>
        <v>1.6483712000000001</v>
      </c>
      <c r="W34" s="143"/>
      <c r="X34" s="375"/>
      <c r="Y34" s="126"/>
      <c r="Z34" s="375"/>
      <c r="AB34" s="122"/>
      <c r="AC34" s="122"/>
      <c r="AD34" s="122"/>
      <c r="AE34" s="122"/>
    </row>
    <row r="35" spans="1:34" ht="18" customHeight="1" x14ac:dyDescent="0.3">
      <c r="A35" s="120">
        <f t="shared" si="0"/>
        <v>30</v>
      </c>
      <c r="C35" s="479" t="str">
        <f>+IF($K$2="EN",Text!$B$40,Text!$C$40)</f>
        <v>América do Sul</v>
      </c>
      <c r="D35" s="419"/>
      <c r="E35" s="419"/>
      <c r="F35" s="482">
        <f>SUMIFS($F$104:$F$126,$C$104:$C$126,$C35)</f>
        <v>1825.8102000000001</v>
      </c>
      <c r="G35" s="483">
        <f>+[3]Backup!$F$33</f>
        <v>1701.9102000000007</v>
      </c>
      <c r="H35" s="484">
        <f>+'[2]Inst Capacity YoY'!$C$7</f>
        <v>123.9</v>
      </c>
      <c r="I35" s="485">
        <f>+'[2]Inst Capacity YoY'!$D$7</f>
        <v>0</v>
      </c>
      <c r="J35" s="486">
        <f>+'[2]Inst Capacity YoY'!$E$7</f>
        <v>123.9</v>
      </c>
      <c r="K35" s="126"/>
      <c r="S35" s="155"/>
      <c r="T35" s="140" t="s">
        <v>15</v>
      </c>
      <c r="U35" s="264">
        <f>+J107+J122</f>
        <v>927.59</v>
      </c>
      <c r="V35" s="264">
        <f>+U35/10^3</f>
        <v>0.92759000000000003</v>
      </c>
      <c r="W35" s="143"/>
      <c r="Y35" s="122"/>
      <c r="Z35" s="122"/>
      <c r="AB35" s="122"/>
      <c r="AC35" s="122"/>
      <c r="AD35" s="122"/>
      <c r="AE35" s="122"/>
    </row>
    <row r="36" spans="1:34" ht="18" customHeight="1" x14ac:dyDescent="0.3">
      <c r="A36" s="120">
        <f t="shared" si="0"/>
        <v>31</v>
      </c>
      <c r="C36" s="479" t="str">
        <f>+IF($K$2="EN",Text!$B$46,Text!$C$46)</f>
        <v>APAC</v>
      </c>
      <c r="D36" s="419"/>
      <c r="E36" s="419"/>
      <c r="F36" s="482">
        <f>SUMIFS($F$104:$F$126,$C$104:$C$126,$C36)</f>
        <v>1151.7403000000002</v>
      </c>
      <c r="G36" s="483">
        <f>+[3]Backup!$F$38</f>
        <v>1032.9588000000003</v>
      </c>
      <c r="H36" s="484">
        <f>+'[2]Inst Capacity YoY'!$C$8</f>
        <v>139.57910000000001</v>
      </c>
      <c r="I36" s="485">
        <f>+'[2]Inst Capacity YoY'!$D$8</f>
        <v>-20.797499999999999</v>
      </c>
      <c r="J36" s="486">
        <f>+'[2]Inst Capacity YoY'!$E$8</f>
        <v>118.78160000000001</v>
      </c>
      <c r="K36" s="126"/>
      <c r="S36" s="155"/>
      <c r="T36" s="140" t="s">
        <v>16</v>
      </c>
      <c r="U36" s="264">
        <f>+J110</f>
        <v>626.71500000000015</v>
      </c>
      <c r="V36" s="264">
        <f>+U36/10^3</f>
        <v>0.62671500000000013</v>
      </c>
      <c r="W36" s="143"/>
      <c r="Y36" s="122"/>
      <c r="Z36" s="122"/>
      <c r="AA36"/>
      <c r="AB36" s="122"/>
      <c r="AC36" s="122"/>
      <c r="AD36" s="122"/>
      <c r="AE36" s="122"/>
    </row>
    <row r="37" spans="1:34" ht="18" customHeight="1" x14ac:dyDescent="0.25">
      <c r="A37" s="120">
        <f t="shared" si="0"/>
        <v>32</v>
      </c>
      <c r="C37" s="480" t="s">
        <v>32</v>
      </c>
      <c r="D37" s="420"/>
      <c r="E37" s="420"/>
      <c r="F37" s="487">
        <f>+SUM(F33:F36)</f>
        <v>20390.958000000017</v>
      </c>
      <c r="G37" s="488">
        <f>+SUM(G33:G36)</f>
        <v>19315.39240000003</v>
      </c>
      <c r="H37" s="489">
        <f>+'[2]Inst Capacity YoY'!$C$9</f>
        <v>1969.3302000000001</v>
      </c>
      <c r="I37" s="489">
        <f>+'[2]Inst Capacity YoY'!$D$9</f>
        <v>-893.76449999999988</v>
      </c>
      <c r="J37" s="490">
        <f>+'[2]Inst Capacity YoY'!$E$9</f>
        <v>1075.5657000000001</v>
      </c>
      <c r="K37" s="466"/>
      <c r="N37" s="571" t="str">
        <f>CONCATENATE(IF($K$2="EN",Charts!E25,Charts!F25)," ",Charts!D24)</f>
        <v>20 GW</v>
      </c>
      <c r="O37" s="571"/>
      <c r="P37" s="124"/>
      <c r="S37" s="122"/>
      <c r="T37" s="140" t="s">
        <v>17</v>
      </c>
      <c r="U37" s="264">
        <f>+J113</f>
        <v>60</v>
      </c>
      <c r="V37" s="264">
        <f>+U37/10^3</f>
        <v>0.06</v>
      </c>
      <c r="W37" s="143"/>
      <c r="Y37" s="122"/>
      <c r="Z37" s="122"/>
      <c r="AA37"/>
      <c r="AB37" s="122"/>
      <c r="AC37" s="122"/>
      <c r="AD37" s="122"/>
      <c r="AE37" s="122"/>
    </row>
    <row r="38" spans="1:34" ht="18" customHeight="1" x14ac:dyDescent="0.25">
      <c r="A38" s="120">
        <f t="shared" si="0"/>
        <v>33</v>
      </c>
      <c r="C38" s="421" t="str">
        <f>+IF($K$2="EN",Text!$B$21,Text!$C$21)</f>
        <v>Eólico Onshore</v>
      </c>
      <c r="D38" s="422"/>
      <c r="E38" s="422"/>
      <c r="F38" s="371" vm="64">
        <f>+[3]Backup!$J$53</f>
        <v>13134.372000000001</v>
      </c>
      <c r="G38" s="372" vm="230">
        <f>+[3]Backup!$F$53</f>
        <v>12878.589499999998</v>
      </c>
      <c r="H38" s="373">
        <f>+'[2]Inst Capacity YoY'!$C$12</f>
        <v>557.6875</v>
      </c>
      <c r="I38" s="373">
        <f>+'[2]Inst Capacity YoY'!$D$12</f>
        <v>-301.90499999999997</v>
      </c>
      <c r="J38" s="374">
        <f>+'[2]Inst Capacity YoY'!$E$12</f>
        <v>255.78250000000003</v>
      </c>
      <c r="K38" s="126"/>
      <c r="N38" s="571"/>
      <c r="O38" s="571"/>
      <c r="P38" s="124"/>
      <c r="S38" s="122"/>
      <c r="T38" s="140" t="s">
        <v>18</v>
      </c>
      <c r="U38" s="264">
        <f>+J117+J124</f>
        <v>34.066199999999995</v>
      </c>
      <c r="V38" s="264">
        <f>+U38/10^3</f>
        <v>3.4066199999999998E-2</v>
      </c>
      <c r="AA38"/>
      <c r="AB38"/>
      <c r="AC38"/>
      <c r="AD38"/>
      <c r="AE38"/>
      <c r="AF38"/>
    </row>
    <row r="39" spans="1:34" ht="18" customHeight="1" x14ac:dyDescent="0.25">
      <c r="A39" s="120">
        <f t="shared" si="0"/>
        <v>34</v>
      </c>
      <c r="C39" s="423" t="str">
        <f>+IF($K$2="EN",Text!$B$24,Text!$C$24)</f>
        <v>Solar Centralizado</v>
      </c>
      <c r="D39" s="422"/>
      <c r="E39" s="422"/>
      <c r="F39" s="371" vm="259">
        <f>+[3]Backup!$J$54</f>
        <v>4943.4261999999962</v>
      </c>
      <c r="G39" s="372" vm="248">
        <f>+[3]Backup!$F$54</f>
        <v>4671.0056999999997</v>
      </c>
      <c r="H39" s="373">
        <f>+'[2]Inst Capacity YoY'!$C$13</f>
        <v>801.60149999999999</v>
      </c>
      <c r="I39" s="373">
        <f>+'[2]Inst Capacity YoY'!$D$13+W56</f>
        <v>-530.49599999999998</v>
      </c>
      <c r="J39" s="374">
        <f>+'[2]Inst Capacity YoY'!$E$13+W56</f>
        <v>271.10550000000001</v>
      </c>
      <c r="K39" s="251"/>
      <c r="N39" s="571"/>
      <c r="O39" s="571"/>
      <c r="S39" s="269"/>
      <c r="T39" s="138" t="s">
        <v>33</v>
      </c>
      <c r="U39" s="264">
        <f>+U34+G126-U40</f>
        <v>1626.0144</v>
      </c>
      <c r="V39" s="264">
        <f t="shared" ref="V39:V42" si="3">+U39/10^3</f>
        <v>1.6260144000000001</v>
      </c>
      <c r="AA39"/>
      <c r="AB39"/>
      <c r="AC39"/>
      <c r="AD39"/>
      <c r="AE39"/>
      <c r="AF39"/>
    </row>
    <row r="40" spans="1:34" ht="18" customHeight="1" x14ac:dyDescent="0.25">
      <c r="A40" s="120">
        <f t="shared" si="0"/>
        <v>35</v>
      </c>
      <c r="B40" s="156"/>
      <c r="C40" s="421" t="str">
        <f>+IF($K$2="EN",Text!$B$25,Text!$C$25)</f>
        <v>Solar DG</v>
      </c>
      <c r="D40" s="422"/>
      <c r="E40" s="422"/>
      <c r="F40" s="371" vm="238">
        <f>+[3]Backup!$J$55</f>
        <v>1023.3308000000003</v>
      </c>
      <c r="G40" s="372" vm="240">
        <f>+[3]Backup!$F$55</f>
        <v>899.48709999999858</v>
      </c>
      <c r="H40" s="373">
        <f>+'[2]Inst Capacity YoY'!$C$14</f>
        <v>146.02220000000003</v>
      </c>
      <c r="I40" s="373">
        <f>+'[2]Inst Capacity YoY'!$D$14+W57</f>
        <v>-20.863500000000002</v>
      </c>
      <c r="J40" s="374">
        <f>+'[2]Inst Capacity YoY'!$E$14+W57</f>
        <v>125.15870000000002</v>
      </c>
      <c r="K40" s="126"/>
      <c r="T40" s="140" t="s">
        <v>190</v>
      </c>
      <c r="U40" s="349">
        <f>+[3]Backup!$F$340+[3]Backup!$F$381</f>
        <v>1991.6869999999999</v>
      </c>
      <c r="V40" s="264">
        <f t="shared" si="3"/>
        <v>1.991687</v>
      </c>
      <c r="AA40"/>
      <c r="AB40"/>
      <c r="AC40"/>
      <c r="AD40"/>
      <c r="AE40"/>
      <c r="AF40"/>
    </row>
    <row r="41" spans="1:34" ht="18" customHeight="1" x14ac:dyDescent="0.4">
      <c r="A41" s="120">
        <f t="shared" si="0"/>
        <v>36</v>
      </c>
      <c r="B41" s="156"/>
      <c r="C41" s="421" t="str">
        <f>+IF($K$2="EN",Text!$B$26,Text!$C$26)</f>
        <v>BESS</v>
      </c>
      <c r="D41" s="442"/>
      <c r="E41" s="442"/>
      <c r="F41" s="371" vm="262">
        <f>+[3]Backup!$J$56</f>
        <v>550.05499999999995</v>
      </c>
      <c r="G41" s="372" vm="261">
        <f>+[3]Backup!$F$56</f>
        <v>206.536</v>
      </c>
      <c r="H41" s="373">
        <f>+'[2]Inst Capacity YoY'!$C$15</f>
        <v>343.51900000000001</v>
      </c>
      <c r="I41" s="373">
        <f>+'[2]Inst Capacity YoY'!$D$15</f>
        <v>0</v>
      </c>
      <c r="J41" s="374">
        <f>+'[2]Inst Capacity YoY'!$E$15</f>
        <v>343.51900000000001</v>
      </c>
      <c r="K41" s="126"/>
      <c r="U41" s="264"/>
      <c r="V41" s="264"/>
      <c r="AA41"/>
      <c r="AB41"/>
      <c r="AC41"/>
      <c r="AD41"/>
      <c r="AE41"/>
      <c r="AF41"/>
    </row>
    <row r="42" spans="1:34" ht="18" customHeight="1" x14ac:dyDescent="0.4">
      <c r="A42" s="120">
        <f t="shared" si="0"/>
        <v>37</v>
      </c>
      <c r="B42" s="156"/>
      <c r="C42" s="421" t="str">
        <f>+IF($K$2="EN",Text!$B$23,Text!$C$23)</f>
        <v>Eólico Offshore</v>
      </c>
      <c r="D42" s="442"/>
      <c r="E42" s="442"/>
      <c r="F42" s="371" vm="239">
        <f>+[3]Backup!$J$57</f>
        <v>739.77390000000003</v>
      </c>
      <c r="G42" s="372" vm="264">
        <f>+[3]Backup!$F$57</f>
        <v>659.77390000000003</v>
      </c>
      <c r="H42" s="373">
        <f>+'[2]Inst Capacity YoY'!$C$16</f>
        <v>120.5</v>
      </c>
      <c r="I42" s="373">
        <f>+'[2]Inst Capacity YoY'!$D$16</f>
        <v>-40.5</v>
      </c>
      <c r="J42" s="374">
        <f>+'[2]Inst Capacity YoY'!$E$16</f>
        <v>80</v>
      </c>
      <c r="K42" s="126"/>
      <c r="T42" s="138" t="s">
        <v>34</v>
      </c>
      <c r="U42" s="264" vm="213">
        <f>+[3]Backup!$J$561</f>
        <v>17761.571016666679</v>
      </c>
      <c r="V42" s="264">
        <f t="shared" si="3"/>
        <v>17.761571016666679</v>
      </c>
      <c r="W42"/>
      <c r="X42"/>
      <c r="Y42" s="252">
        <f>+U42-[3]Backup!$F$561/1000</f>
        <v>17746.051877525013</v>
      </c>
      <c r="Z42" s="252">
        <f>+(U42-[3]Backup!$I$561)/1000</f>
        <v>0.19530543888889224</v>
      </c>
      <c r="AA42"/>
      <c r="AB42"/>
      <c r="AC42"/>
      <c r="AD42"/>
      <c r="AE42"/>
      <c r="AF42"/>
    </row>
    <row r="43" spans="1:34" s="143" customFormat="1" ht="18" customHeight="1" x14ac:dyDescent="0.25">
      <c r="A43" s="120">
        <f t="shared" si="0"/>
        <v>38</v>
      </c>
      <c r="H43" s="321"/>
      <c r="K43" s="126"/>
      <c r="L43" s="121"/>
      <c r="M43" s="121"/>
      <c r="N43" s="121"/>
      <c r="O43" s="121"/>
      <c r="P43" s="121"/>
      <c r="Q43" s="121"/>
      <c r="T43" s="121"/>
      <c r="U43" s="121"/>
      <c r="V43"/>
      <c r="W43"/>
      <c r="X43"/>
      <c r="Y43"/>
      <c r="Z43"/>
      <c r="AA43"/>
      <c r="AB43"/>
      <c r="AC43"/>
      <c r="AD43"/>
      <c r="AE43"/>
      <c r="AF43"/>
      <c r="AG43" s="121"/>
      <c r="AH43" s="121"/>
    </row>
    <row r="44" spans="1:34" s="143" customFormat="1" ht="18" customHeight="1" x14ac:dyDescent="0.25">
      <c r="A44" s="120">
        <f t="shared" si="0"/>
        <v>39</v>
      </c>
      <c r="F44" s="457"/>
      <c r="K44" s="126"/>
      <c r="L44" s="121"/>
      <c r="M44" s="121"/>
      <c r="N44" s="121"/>
      <c r="O44" s="121"/>
      <c r="P44" s="121"/>
      <c r="Q44" s="121"/>
      <c r="T44" s="138" t="str">
        <f>+IF($K$2="EN",Text!$B$21,Text!$C$21)</f>
        <v>Eólico Onshore</v>
      </c>
      <c r="U44" s="348">
        <f>+H38</f>
        <v>557.6875</v>
      </c>
      <c r="V44" s="348">
        <f>+H38/10^3</f>
        <v>0.5576875</v>
      </c>
      <c r="W44"/>
      <c r="X44" s="356">
        <f>+U44/$U$16</f>
        <v>0.28318638489370651</v>
      </c>
      <c r="Y44"/>
      <c r="Z44"/>
      <c r="AA44"/>
      <c r="AB44"/>
      <c r="AC44"/>
      <c r="AD44"/>
      <c r="AE44"/>
      <c r="AF44"/>
      <c r="AG44" s="121"/>
      <c r="AH44" s="121"/>
    </row>
    <row r="45" spans="1:34" s="143" customFormat="1" ht="18" customHeight="1" x14ac:dyDescent="0.25">
      <c r="A45" s="120">
        <f t="shared" si="0"/>
        <v>40</v>
      </c>
      <c r="K45" s="126"/>
      <c r="L45" s="121"/>
      <c r="M45" s="121"/>
      <c r="N45" s="121"/>
      <c r="O45" s="121"/>
      <c r="P45" s="121"/>
      <c r="Q45" s="121"/>
      <c r="T45" s="363" t="str">
        <f>+IF($K$2="EN",Text!$B$24,Text!$C$24)</f>
        <v>Solar Centralizado</v>
      </c>
      <c r="U45" s="348">
        <f>+H39</f>
        <v>801.60149999999999</v>
      </c>
      <c r="V45" s="348">
        <f>+H39/10^3</f>
        <v>0.80160149999999997</v>
      </c>
      <c r="W45"/>
      <c r="X45" s="356">
        <f t="shared" ref="X45:X48" si="4">+U45/$U$16</f>
        <v>0.4070427092419544</v>
      </c>
      <c r="Y45"/>
      <c r="Z45"/>
      <c r="AA45" s="121"/>
      <c r="AB45"/>
      <c r="AC45"/>
      <c r="AD45"/>
      <c r="AE45"/>
      <c r="AF45"/>
      <c r="AG45" s="121"/>
      <c r="AH45" s="121"/>
    </row>
    <row r="46" spans="1:34" s="143" customFormat="1" ht="18" customHeight="1" thickBot="1" x14ac:dyDescent="0.55000000000000004">
      <c r="A46" s="120">
        <f t="shared" si="0"/>
        <v>41</v>
      </c>
      <c r="C46" s="477" t="str">
        <f>+IF($K$2="EN",Text!B9,Text!C9)</f>
        <v>Produção de Eletricidade</v>
      </c>
      <c r="D46" s="145"/>
      <c r="E46" s="145"/>
      <c r="F46" s="145"/>
      <c r="G46" s="145"/>
      <c r="H46" s="145"/>
      <c r="I46" s="572" t="s">
        <v>13</v>
      </c>
      <c r="J46" s="572"/>
      <c r="K46" s="126"/>
      <c r="L46" s="121"/>
      <c r="M46" s="121"/>
      <c r="N46" s="121"/>
      <c r="O46" s="121"/>
      <c r="P46" s="121"/>
      <c r="Q46" s="121"/>
      <c r="T46" s="138" t="str">
        <f>+IF($K$2="EN",Text!$B$25,Text!$C$25)</f>
        <v>Solar DG</v>
      </c>
      <c r="U46" s="348">
        <f>+H40</f>
        <v>146.02220000000003</v>
      </c>
      <c r="V46" s="348">
        <f>+H40/10^3</f>
        <v>0.14602220000000002</v>
      </c>
      <c r="W46"/>
      <c r="X46" s="356">
        <f t="shared" si="4"/>
        <v>7.4148154534978444E-2</v>
      </c>
      <c r="Y46"/>
      <c r="Z46"/>
      <c r="AA46" s="121"/>
      <c r="AB46"/>
      <c r="AC46"/>
      <c r="AD46"/>
      <c r="AE46"/>
      <c r="AF46"/>
      <c r="AG46" s="121"/>
      <c r="AH46" s="121"/>
    </row>
    <row r="47" spans="1:34" s="143" customFormat="1" ht="18" customHeight="1" x14ac:dyDescent="0.25">
      <c r="A47" s="120">
        <f t="shared" si="0"/>
        <v>42</v>
      </c>
      <c r="K47" s="126"/>
      <c r="T47" s="138" t="str">
        <f>+IF($K$2="EN",Text!$B$26,Text!$C$26)</f>
        <v>BESS</v>
      </c>
      <c r="U47" s="348">
        <f>+H41</f>
        <v>343.51900000000001</v>
      </c>
      <c r="V47" s="348">
        <f>+H41/10^3</f>
        <v>0.34351900000000002</v>
      </c>
      <c r="W47"/>
      <c r="X47" s="356">
        <f t="shared" si="4"/>
        <v>0.17443443461132113</v>
      </c>
      <c r="Y47">
        <f>+U47/G41</f>
        <v>1.663240306774606</v>
      </c>
      <c r="Z47"/>
      <c r="AA47" s="121"/>
      <c r="AB47"/>
      <c r="AC47"/>
      <c r="AD47"/>
      <c r="AE47"/>
      <c r="AF47"/>
      <c r="AG47" s="121"/>
      <c r="AH47" s="121"/>
    </row>
    <row r="48" spans="1:34" s="143" customFormat="1" ht="18" customHeight="1" x14ac:dyDescent="0.25">
      <c r="A48" s="120">
        <f t="shared" si="0"/>
        <v>43</v>
      </c>
      <c r="C48" s="474" t="s">
        <v>35</v>
      </c>
      <c r="D48" s="474"/>
      <c r="E48" s="474"/>
      <c r="F48" s="474"/>
      <c r="G48" s="492">
        <f>+Cur_Period</f>
        <v>2025</v>
      </c>
      <c r="H48" s="492">
        <f>+Pre_Period</f>
        <v>2024</v>
      </c>
      <c r="I48" s="492" t="s">
        <v>35</v>
      </c>
      <c r="J48" s="493" t="s">
        <v>12</v>
      </c>
      <c r="K48" s="121"/>
      <c r="L48" s="121"/>
      <c r="M48" s="121"/>
      <c r="N48" s="121"/>
      <c r="O48" s="121"/>
      <c r="P48" s="121"/>
      <c r="Q48" s="121"/>
      <c r="T48" s="138" t="str">
        <f>+IF($K$2="EN",Text!$B$23,Text!$C$23)</f>
        <v>Eólico Offshore</v>
      </c>
      <c r="U48" s="348">
        <f>+H42</f>
        <v>120.5</v>
      </c>
      <c r="V48" s="348">
        <f>+H42/10^3</f>
        <v>0.1205</v>
      </c>
      <c r="W48"/>
      <c r="X48" s="356">
        <f t="shared" si="4"/>
        <v>6.1188316718039461E-2</v>
      </c>
      <c r="Y48"/>
      <c r="Z48"/>
      <c r="AA48" s="121"/>
      <c r="AB48"/>
      <c r="AC48"/>
      <c r="AD48"/>
      <c r="AE48"/>
      <c r="AF48"/>
      <c r="AG48" s="121"/>
      <c r="AH48" s="121"/>
    </row>
    <row r="49" spans="1:34" s="143" customFormat="1" ht="18" customHeight="1" x14ac:dyDescent="0.25">
      <c r="A49" s="120">
        <f t="shared" si="0"/>
        <v>44</v>
      </c>
      <c r="C49" s="475" t="str">
        <f>+IF($K$2="EN",Text!$B$21,Text!$C$21)</f>
        <v>Eólico Onshore</v>
      </c>
      <c r="D49" s="475"/>
      <c r="E49" s="475"/>
      <c r="F49" s="475"/>
      <c r="G49" s="494">
        <f>+[3]Backup!$J$910</f>
        <v>30806.695566399998</v>
      </c>
      <c r="H49" s="495">
        <f>+[3]Backup!$F$910</f>
        <v>31018.310728700009</v>
      </c>
      <c r="I49" s="496">
        <f>G49-H49</f>
        <v>-211.61516230001143</v>
      </c>
      <c r="J49" s="497">
        <f>+G49/H49-1</f>
        <v>-6.8222658593787289E-3</v>
      </c>
      <c r="K49" s="121"/>
      <c r="T49"/>
      <c r="U49"/>
      <c r="V49"/>
      <c r="W49"/>
      <c r="X49"/>
      <c r="Y49"/>
      <c r="Z49"/>
      <c r="AA49" s="121"/>
      <c r="AB49" s="121"/>
      <c r="AC49" s="121"/>
      <c r="AD49" s="121"/>
      <c r="AE49" s="121"/>
      <c r="AF49" s="121"/>
      <c r="AG49" s="121"/>
      <c r="AH49" s="121"/>
    </row>
    <row r="50" spans="1:34" s="143" customFormat="1" ht="18" customHeight="1" thickBot="1" x14ac:dyDescent="0.55000000000000004">
      <c r="A50" s="120">
        <f t="shared" si="0"/>
        <v>45</v>
      </c>
      <c r="C50" s="428" t="str">
        <f>+IF($K$2="EN",Text!$B$28,Text!$C$28)</f>
        <v>Espanha</v>
      </c>
      <c r="D50" s="442"/>
      <c r="E50" s="442"/>
      <c r="F50" s="442"/>
      <c r="G50" s="382">
        <f>+[3]Backup!$J$913</f>
        <v>4070.2593099999995</v>
      </c>
      <c r="H50" s="399">
        <f>+[3]Backup!$F$913</f>
        <v>4203.4434000000001</v>
      </c>
      <c r="I50" s="403">
        <f t="shared" ref="I50:I52" si="5">G50-H50</f>
        <v>-133.18409000000065</v>
      </c>
      <c r="J50" s="401">
        <f t="shared" ref="J50:J52" si="6">+G50/H50-1</f>
        <v>-3.1684520838320518E-2</v>
      </c>
      <c r="K50" s="121"/>
      <c r="L50" s="491" t="str">
        <f>+IF($K$2="EN",Text!$B$10,Text!$C$10)</f>
        <v>Produção por Região e Tecnologia</v>
      </c>
      <c r="M50" s="345"/>
      <c r="N50" s="345"/>
      <c r="O50" s="345"/>
      <c r="P50" s="345"/>
      <c r="Q50" s="345"/>
      <c r="T50" t="s">
        <v>36</v>
      </c>
      <c r="U50"/>
      <c r="V50" s="356">
        <f>+SUM(H39:H40)/H37</f>
        <v>0.48119086377693288</v>
      </c>
      <c r="W50"/>
      <c r="X50" s="348"/>
      <c r="Y50"/>
      <c r="Z50"/>
      <c r="AA50" s="121"/>
      <c r="AB50" s="121"/>
      <c r="AC50" s="121"/>
      <c r="AD50" s="121"/>
      <c r="AE50" s="121"/>
      <c r="AF50" s="121"/>
      <c r="AG50" s="121"/>
      <c r="AH50" s="121"/>
    </row>
    <row r="51" spans="1:34" s="143" customFormat="1" ht="18" customHeight="1" x14ac:dyDescent="0.4">
      <c r="A51" s="120">
        <f t="shared" si="0"/>
        <v>46</v>
      </c>
      <c r="C51" s="428" t="str">
        <f>+IF($K$2="EN",Text!$B$29,Text!$C$29)</f>
        <v>Portugal</v>
      </c>
      <c r="D51" s="442"/>
      <c r="E51" s="442"/>
      <c r="F51" s="442"/>
      <c r="G51" s="382">
        <f>+[3]Backup!$J$914</f>
        <v>2791.6652400000007</v>
      </c>
      <c r="H51" s="399">
        <f>+[3]Backup!$F$914</f>
        <v>2924.0419999999999</v>
      </c>
      <c r="I51" s="403">
        <f t="shared" si="5"/>
        <v>-132.37675999999919</v>
      </c>
      <c r="J51" s="401">
        <f t="shared" si="6"/>
        <v>-4.5271839460581997E-2</v>
      </c>
      <c r="K51" s="121"/>
      <c r="L51" s="121"/>
      <c r="M51" s="121"/>
      <c r="N51" s="121"/>
      <c r="O51" s="121"/>
      <c r="P51" s="121"/>
      <c r="Q51" s="121"/>
      <c r="T51" t="s">
        <v>37</v>
      </c>
      <c r="U51"/>
      <c r="V51" s="356">
        <f>+SUM(H39:H41)/H37</f>
        <v>0.6556252983882539</v>
      </c>
      <c r="W51"/>
      <c r="X51"/>
      <c r="AB51" s="121"/>
      <c r="AC51" s="121"/>
      <c r="AD51" s="121"/>
      <c r="AE51" s="121"/>
      <c r="AF51" s="121"/>
      <c r="AG51" s="121"/>
      <c r="AH51" s="121"/>
    </row>
    <row r="52" spans="1:34" s="143" customFormat="1" ht="18" customHeight="1" x14ac:dyDescent="0.4">
      <c r="A52" s="120">
        <f t="shared" si="0"/>
        <v>47</v>
      </c>
      <c r="C52" s="428" t="str">
        <f>+IF($K$2="EN",Text!$B$30,Text!$C$30)</f>
        <v>Resto da Europa</v>
      </c>
      <c r="D52" s="442"/>
      <c r="E52" s="442"/>
      <c r="F52" s="442"/>
      <c r="G52" s="382">
        <f>+[3]Backup!$J$915</f>
        <v>3386.4939499999996</v>
      </c>
      <c r="H52" s="399">
        <f>+[3]Backup!$F$915</f>
        <v>3668.6598800000002</v>
      </c>
      <c r="I52" s="403">
        <f t="shared" si="5"/>
        <v>-282.16593000000057</v>
      </c>
      <c r="J52" s="401">
        <f t="shared" si="6"/>
        <v>-7.6912534611957684E-2</v>
      </c>
      <c r="K52" s="121"/>
      <c r="L52" s="121"/>
      <c r="M52" s="121"/>
      <c r="N52" s="121"/>
      <c r="O52" s="121"/>
      <c r="P52" s="121"/>
      <c r="Q52" s="121"/>
      <c r="AB52" s="121"/>
      <c r="AC52" s="121"/>
      <c r="AD52" s="121"/>
      <c r="AE52" s="121"/>
      <c r="AF52" s="121"/>
      <c r="AG52" s="121"/>
      <c r="AH52" s="121"/>
    </row>
    <row r="53" spans="1:34" s="143" customFormat="1" ht="18" customHeight="1" x14ac:dyDescent="0.35">
      <c r="A53" s="120">
        <f t="shared" si="0"/>
        <v>48</v>
      </c>
      <c r="C53" s="421" t="str">
        <f>+IF($K$2="EN",Text!$B$27,Text!$C$27)</f>
        <v>Europa</v>
      </c>
      <c r="D53" s="422"/>
      <c r="E53" s="422"/>
      <c r="F53" s="422"/>
      <c r="G53" s="382">
        <f>+[3]Backup!$J$912</f>
        <v>10248.418500000002</v>
      </c>
      <c r="H53" s="399">
        <f>+[3]Backup!$F$912</f>
        <v>10796.145280000002</v>
      </c>
      <c r="I53" s="403">
        <f>G53-H53</f>
        <v>-547.72678000000087</v>
      </c>
      <c r="J53" s="401">
        <f>+G53/H53-1</f>
        <v>-5.0733550336217847E-2</v>
      </c>
      <c r="K53" s="121"/>
      <c r="L53" s="121"/>
      <c r="M53" s="121"/>
      <c r="N53" s="121"/>
      <c r="O53" s="121"/>
      <c r="P53" s="121"/>
      <c r="Q53" s="121"/>
      <c r="T53" s="391"/>
      <c r="U53" s="557"/>
      <c r="V53" s="557"/>
      <c r="W53" s="557"/>
      <c r="AB53" s="121"/>
      <c r="AC53" s="121"/>
      <c r="AD53" s="121"/>
      <c r="AE53" s="121"/>
      <c r="AF53" s="121"/>
      <c r="AG53" s="121"/>
      <c r="AH53" s="121"/>
    </row>
    <row r="54" spans="1:34" s="143" customFormat="1" ht="18" customHeight="1" x14ac:dyDescent="0.35">
      <c r="A54" s="120">
        <f t="shared" si="0"/>
        <v>49</v>
      </c>
      <c r="C54" s="421" t="str">
        <f>+IF($K$2="EN",Text!$B$34,Text!$C$34)</f>
        <v>América do Norte</v>
      </c>
      <c r="D54" s="422"/>
      <c r="E54" s="422"/>
      <c r="F54" s="422"/>
      <c r="G54" s="382">
        <f>+[3]Backup!$J$927</f>
        <v>17535.976758500001</v>
      </c>
      <c r="H54" s="399">
        <f>+[3]Backup!$F$927</f>
        <v>17582.420888700002</v>
      </c>
      <c r="I54" s="400">
        <f>G54-H54</f>
        <v>-46.444130200001382</v>
      </c>
      <c r="J54" s="461">
        <f>+G54/H54-1</f>
        <v>-2.6415094084029089E-3</v>
      </c>
      <c r="K54" s="251"/>
      <c r="L54" s="121"/>
      <c r="P54" s="121"/>
      <c r="Q54" s="121"/>
      <c r="T54" s="458" t="s">
        <v>38</v>
      </c>
      <c r="U54" s="392">
        <f>+F37</f>
        <v>20390.958000000017</v>
      </c>
      <c r="V54" s="392">
        <f>+G37</f>
        <v>19315.39240000003</v>
      </c>
      <c r="W54" s="392"/>
      <c r="X54" s="321">
        <f>+U54/V54-1</f>
        <v>5.5684377398410367E-2</v>
      </c>
      <c r="AB54" s="121"/>
      <c r="AC54" s="121"/>
      <c r="AD54" s="121"/>
      <c r="AE54" s="121"/>
      <c r="AF54" s="121"/>
      <c r="AG54" s="121"/>
      <c r="AH54" s="121"/>
    </row>
    <row r="55" spans="1:34" s="143" customFormat="1" ht="18" customHeight="1" x14ac:dyDescent="0.35">
      <c r="A55" s="120">
        <f t="shared" si="0"/>
        <v>50</v>
      </c>
      <c r="C55" s="421" t="str">
        <f>+IF($K$2="EN",Text!$B$40,Text!$C$40)</f>
        <v>América do Sul</v>
      </c>
      <c r="D55" s="427"/>
      <c r="E55" s="427"/>
      <c r="F55" s="427"/>
      <c r="G55" s="382">
        <f>+[3]Backup!$J$932</f>
        <v>3022.3003079</v>
      </c>
      <c r="H55" s="402">
        <f>+[3]Backup!$F$932</f>
        <v>2639.7445600000001</v>
      </c>
      <c r="I55" s="400">
        <f>G55-H55</f>
        <v>382.55574789999991</v>
      </c>
      <c r="J55" s="401">
        <f>+G55/H55-1</f>
        <v>0.14492150251841029</v>
      </c>
      <c r="K55" s="126"/>
      <c r="L55" s="121"/>
      <c r="N55" s="341"/>
      <c r="P55" s="121"/>
      <c r="Q55" s="121"/>
      <c r="T55" s="459" t="s" vm="21">
        <v>39</v>
      </c>
      <c r="U55" s="392" vm="64">
        <f t="shared" ref="U55:V59" si="7">+F38</f>
        <v>13134.372000000001</v>
      </c>
      <c r="V55" s="392" vm="230">
        <f t="shared" si="7"/>
        <v>12878.589499999998</v>
      </c>
      <c r="W55" s="392"/>
      <c r="X55" s="292">
        <f>+U55/U$54</f>
        <v>0.64412726464347536</v>
      </c>
      <c r="Y55" s="561">
        <f t="shared" ref="Y55:Y57" si="8">+X55-(V55/V$54)</f>
        <v>-2.2625407696744815E-2</v>
      </c>
      <c r="Z55" s="121"/>
      <c r="AA55" s="121"/>
      <c r="AB55" s="121"/>
      <c r="AC55" s="121"/>
      <c r="AD55" s="121"/>
      <c r="AE55" s="121"/>
      <c r="AF55" s="121"/>
      <c r="AG55" s="121"/>
      <c r="AH55" s="121"/>
    </row>
    <row r="56" spans="1:34" s="143" customFormat="1" ht="18" customHeight="1" x14ac:dyDescent="0.35">
      <c r="A56" s="120">
        <f t="shared" si="0"/>
        <v>51</v>
      </c>
      <c r="C56" s="475" t="str">
        <f>+IF($K$2="EN",Text!$B$24,Text!$C$24)</f>
        <v>Solar Centralizado</v>
      </c>
      <c r="D56" s="475"/>
      <c r="E56" s="475"/>
      <c r="F56" s="475"/>
      <c r="G56" s="494">
        <f>+[3]Backup!$J$951</f>
        <v>8663.7891256999992</v>
      </c>
      <c r="H56" s="498">
        <f>+[3]Backup!$F$951</f>
        <v>4566.4693505000005</v>
      </c>
      <c r="I56" s="499">
        <f>G56-H56</f>
        <v>4097.3197751999987</v>
      </c>
      <c r="J56" s="497">
        <f>+G56/H56-1</f>
        <v>0.89726207726574736</v>
      </c>
      <c r="K56" s="126"/>
      <c r="O56" s="124"/>
      <c r="P56" s="121"/>
      <c r="Q56" s="121"/>
      <c r="T56" s="459" t="s" vm="22">
        <v>23</v>
      </c>
      <c r="U56" s="392" vm="259">
        <f t="shared" si="7"/>
        <v>4943.4261999999962</v>
      </c>
      <c r="V56" s="392" vm="248">
        <f t="shared" si="7"/>
        <v>4671.0056999999997</v>
      </c>
      <c r="W56" s="392"/>
      <c r="X56" s="292">
        <f t="shared" ref="X56:X59" si="9">+U56/U$54</f>
        <v>0.24243226826321707</v>
      </c>
      <c r="Y56" s="561">
        <f t="shared" si="8"/>
        <v>6.0411363561588272E-4</v>
      </c>
      <c r="Z56" s="121"/>
      <c r="AA56" s="121"/>
      <c r="AB56" s="121"/>
    </row>
    <row r="57" spans="1:34" s="143" customFormat="1" ht="18" customHeight="1" x14ac:dyDescent="0.35">
      <c r="A57" s="120">
        <f t="shared" si="0"/>
        <v>52</v>
      </c>
      <c r="C57" s="421" t="str">
        <f>+IF($K$2="EN",Text!$B$27,Text!$C$27)</f>
        <v>Europa</v>
      </c>
      <c r="D57" s="419"/>
      <c r="E57" s="419"/>
      <c r="F57" s="419"/>
      <c r="G57" s="382">
        <f>+[3]Backup!$J$953</f>
        <v>1297.0360175000001</v>
      </c>
      <c r="H57" s="402">
        <f>+[3]Backup!$F$953</f>
        <v>748.5575461000002</v>
      </c>
      <c r="I57" s="400">
        <f t="shared" ref="I57:I68" si="10">G57-H57</f>
        <v>548.47847139999988</v>
      </c>
      <c r="J57" s="401">
        <f t="shared" ref="J57:J68" si="11">+G57/H57-1</f>
        <v>0.73271383644127797</v>
      </c>
      <c r="K57" s="126"/>
      <c r="M57" s="124"/>
      <c r="N57" s="571" t="str">
        <f>CONCATENATE(IF($K$2="EN",Charts!E41,Charts!F41)&amp;" TWh")</f>
        <v>41 TWh</v>
      </c>
      <c r="O57" s="571"/>
      <c r="P57" s="124"/>
      <c r="T57" s="459" t="s" vm="23">
        <v>24</v>
      </c>
      <c r="U57" s="392" vm="238">
        <f t="shared" si="7"/>
        <v>1023.3308000000003</v>
      </c>
      <c r="V57" s="392" vm="240">
        <f t="shared" si="7"/>
        <v>899.48709999999858</v>
      </c>
      <c r="W57" s="392"/>
      <c r="X57" s="292">
        <f t="shared" si="9"/>
        <v>5.0185518502857955E-2</v>
      </c>
      <c r="Y57" s="561">
        <f t="shared" si="8"/>
        <v>3.6171091548813025E-3</v>
      </c>
      <c r="Z57" s="121"/>
      <c r="AA57" s="121"/>
      <c r="AB57" s="121"/>
    </row>
    <row r="58" spans="1:34" s="143" customFormat="1" ht="18" customHeight="1" x14ac:dyDescent="0.35">
      <c r="A58" s="120">
        <f t="shared" si="0"/>
        <v>53</v>
      </c>
      <c r="C58" s="421" t="str">
        <f>+IF($K$2="EN",Text!$B$34,Text!$C$34)</f>
        <v>América do Norte</v>
      </c>
      <c r="D58" s="429"/>
      <c r="E58" s="429"/>
      <c r="F58" s="429"/>
      <c r="G58" s="382">
        <f>+[3]Backup!$J$968</f>
        <v>5507.7743482000005</v>
      </c>
      <c r="H58" s="402">
        <f>+[3]Backup!$F$968</f>
        <v>2294.5328944000003</v>
      </c>
      <c r="I58" s="400">
        <f t="shared" si="10"/>
        <v>3213.2414538000003</v>
      </c>
      <c r="J58" s="401">
        <f t="shared" si="11"/>
        <v>1.4003902326448165</v>
      </c>
      <c r="K58" s="126"/>
      <c r="N58" s="571"/>
      <c r="O58" s="571"/>
      <c r="P58" s="124"/>
      <c r="T58" s="459" t="s" vm="24">
        <v>25</v>
      </c>
      <c r="U58" s="392" vm="262">
        <f t="shared" si="7"/>
        <v>550.05499999999995</v>
      </c>
      <c r="V58" s="392" vm="261">
        <f t="shared" si="7"/>
        <v>206.536</v>
      </c>
      <c r="W58" s="392"/>
      <c r="X58" s="292">
        <f t="shared" si="9"/>
        <v>2.6975436857846476E-2</v>
      </c>
      <c r="Y58" s="561">
        <f>+X58-(V58/V$54)</f>
        <v>1.6282617591073533E-2</v>
      </c>
      <c r="Z58" s="121"/>
      <c r="AA58" s="121"/>
      <c r="AB58" s="121"/>
    </row>
    <row r="59" spans="1:34" s="143" customFormat="1" ht="18" customHeight="1" x14ac:dyDescent="0.35">
      <c r="A59" s="120">
        <f t="shared" si="0"/>
        <v>54</v>
      </c>
      <c r="C59" s="421" t="str">
        <f>+IF($K$2="EN",Text!$B$40,Text!$C$40)</f>
        <v>América do Sul</v>
      </c>
      <c r="D59" s="427"/>
      <c r="E59" s="427"/>
      <c r="F59" s="427"/>
      <c r="G59" s="382">
        <f>+[3]Backup!$J$973</f>
        <v>1162.0639900000001</v>
      </c>
      <c r="H59" s="402">
        <f>+[3]Backup!$F$973</f>
        <v>801.24063000000012</v>
      </c>
      <c r="I59" s="400">
        <f t="shared" si="10"/>
        <v>360.82335999999998</v>
      </c>
      <c r="J59" s="401">
        <f t="shared" si="11"/>
        <v>0.45033083257397966</v>
      </c>
      <c r="K59" s="126"/>
      <c r="M59" s="121"/>
      <c r="N59" s="571"/>
      <c r="O59" s="571"/>
      <c r="P59" s="121"/>
      <c r="Q59" s="121"/>
      <c r="S59" s="267"/>
      <c r="T59" s="459" t="s" vm="25">
        <v>40</v>
      </c>
      <c r="U59" s="392" vm="239">
        <f t="shared" si="7"/>
        <v>739.77390000000003</v>
      </c>
      <c r="V59" s="392" vm="264">
        <f t="shared" si="7"/>
        <v>659.77390000000003</v>
      </c>
      <c r="W59" s="392"/>
      <c r="X59" s="292">
        <f t="shared" si="9"/>
        <v>3.6279506828467763E-2</v>
      </c>
      <c r="Y59" s="561">
        <f t="shared" ref="Y59" si="12">+X59-(V59/V$54)</f>
        <v>2.1215727654766842E-3</v>
      </c>
      <c r="AB59" s="121"/>
    </row>
    <row r="60" spans="1:34" s="143" customFormat="1" ht="18" customHeight="1" x14ac:dyDescent="0.4">
      <c r="A60" s="120">
        <f t="shared" si="0"/>
        <v>55</v>
      </c>
      <c r="C60" s="421" t="str">
        <f>+IF($K$2="EN",Text!$B$46,Text!$C$46)</f>
        <v>APAC</v>
      </c>
      <c r="D60" s="442"/>
      <c r="E60" s="442"/>
      <c r="F60" s="442"/>
      <c r="G60" s="382">
        <f>+[3]Backup!$J$978</f>
        <v>696.91476999999998</v>
      </c>
      <c r="H60" s="402">
        <f>+[3]Backup!$F$978</f>
        <v>722.13828000000001</v>
      </c>
      <c r="I60" s="403">
        <f t="shared" si="10"/>
        <v>-25.223510000000033</v>
      </c>
      <c r="J60" s="401">
        <f t="shared" si="11"/>
        <v>-3.4928919707732486E-2</v>
      </c>
      <c r="K60" s="126"/>
      <c r="M60" s="121"/>
      <c r="N60" s="124"/>
      <c r="O60" s="124"/>
      <c r="P60" s="121"/>
      <c r="Q60" s="121"/>
    </row>
    <row r="61" spans="1:34" s="143" customFormat="1" ht="18" customHeight="1" x14ac:dyDescent="0.4">
      <c r="A61" s="120">
        <f t="shared" si="0"/>
        <v>56</v>
      </c>
      <c r="C61" s="475" t="str">
        <f>+IF($K$2="EN",Text!$B$25,Text!$C$25)</f>
        <v>Solar DG</v>
      </c>
      <c r="D61" s="476"/>
      <c r="E61" s="476"/>
      <c r="F61" s="476"/>
      <c r="G61" s="494">
        <f>+[3]Backup!$J$992</f>
        <v>1133.2889373999999</v>
      </c>
      <c r="H61" s="498">
        <f>+[3]Backup!$F$992</f>
        <v>966.69693340000026</v>
      </c>
      <c r="I61" s="499">
        <f t="shared" si="10"/>
        <v>166.59200399999963</v>
      </c>
      <c r="J61" s="497">
        <f t="shared" si="11"/>
        <v>0.17233116010213623</v>
      </c>
      <c r="K61" s="126"/>
      <c r="M61" s="121"/>
      <c r="N61" s="121"/>
      <c r="O61" s="121"/>
      <c r="P61" s="121"/>
      <c r="Q61" s="121"/>
    </row>
    <row r="62" spans="1:34" s="143" customFormat="1" ht="18" customHeight="1" x14ac:dyDescent="0.4">
      <c r="A62" s="120">
        <f t="shared" si="0"/>
        <v>57</v>
      </c>
      <c r="C62" s="423" t="str">
        <f>+IF($K$2="EN",Text!$B$34,Text!$C$34)</f>
        <v>América do Norte</v>
      </c>
      <c r="D62" s="442"/>
      <c r="E62" s="442"/>
      <c r="F62" s="442"/>
      <c r="G62" s="382">
        <f>+[3]Backup!$J$1009</f>
        <v>303.01327739999994</v>
      </c>
      <c r="H62" s="402">
        <f>+[3]Backup!$F$1009</f>
        <v>292.71922339999992</v>
      </c>
      <c r="I62" s="403">
        <f t="shared" si="10"/>
        <v>10.294054000000017</v>
      </c>
      <c r="J62" s="401">
        <f t="shared" si="11"/>
        <v>3.5166989992772679E-2</v>
      </c>
      <c r="K62" s="126"/>
      <c r="L62" s="121"/>
      <c r="M62" s="121"/>
      <c r="N62" s="121"/>
      <c r="O62" s="121"/>
      <c r="P62" s="121"/>
      <c r="Q62" s="121"/>
      <c r="T62" s="469" t="s">
        <v>191</v>
      </c>
      <c r="U62" s="468">
        <f>+G56/H56</f>
        <v>1.8972620772657474</v>
      </c>
      <c r="V62"/>
      <c r="W62"/>
      <c r="X62"/>
      <c r="Y62"/>
    </row>
    <row r="63" spans="1:34" s="143" customFormat="1" ht="18" customHeight="1" x14ac:dyDescent="0.35">
      <c r="A63" s="120">
        <f t="shared" si="0"/>
        <v>58</v>
      </c>
      <c r="C63" s="393" t="str">
        <f>+IF($K$2="EN",Text!$B$46,Text!$C$46)</f>
        <v>APAC</v>
      </c>
      <c r="D63" s="443"/>
      <c r="E63" s="443"/>
      <c r="F63" s="443"/>
      <c r="G63" s="383">
        <f>+[3]Backup!$J$1019</f>
        <v>830.27565999999968</v>
      </c>
      <c r="H63" s="430">
        <f>+[3]Backup!$F$1019</f>
        <v>673.97771</v>
      </c>
      <c r="I63" s="431">
        <f t="shared" si="10"/>
        <v>156.29794999999967</v>
      </c>
      <c r="J63" s="432">
        <f t="shared" si="11"/>
        <v>0.23190373758799776</v>
      </c>
      <c r="K63" s="126"/>
      <c r="L63" s="121"/>
      <c r="M63" s="121"/>
      <c r="N63" s="121"/>
      <c r="O63" s="121"/>
      <c r="P63" s="121"/>
      <c r="Q63" s="121"/>
      <c r="T63" s="469" t="s">
        <v>201</v>
      </c>
      <c r="U63" s="559">
        <f>+(G56+G61)/(H56+H61)</f>
        <v>1.7706097305636403</v>
      </c>
      <c r="V63"/>
      <c r="W63"/>
      <c r="X63"/>
      <c r="Y63" s="292">
        <f>+(G56+G61)/(H56+H61)-1</f>
        <v>0.77060973056364035</v>
      </c>
    </row>
    <row r="64" spans="1:34" s="143" customFormat="1" ht="18" customHeight="1" x14ac:dyDescent="0.25">
      <c r="A64" s="120">
        <f t="shared" si="0"/>
        <v>59</v>
      </c>
      <c r="C64" s="478" t="str">
        <f>C37</f>
        <v>EDPR</v>
      </c>
      <c r="D64" s="478"/>
      <c r="E64" s="478"/>
      <c r="F64" s="478"/>
      <c r="G64" s="500">
        <f>+[3]Backup!$J$903</f>
        <v>40603.7736295</v>
      </c>
      <c r="H64" s="501">
        <f>+[3]Backup!$F$903</f>
        <v>36551.4770126</v>
      </c>
      <c r="I64" s="502">
        <f t="shared" si="10"/>
        <v>4052.2966168999992</v>
      </c>
      <c r="J64" s="503">
        <f t="shared" si="11"/>
        <v>0.11086546832301991</v>
      </c>
      <c r="K64" s="126"/>
      <c r="L64" s="121"/>
      <c r="M64" s="121"/>
      <c r="N64" s="121"/>
      <c r="O64" s="121"/>
      <c r="P64" s="121"/>
      <c r="Q64" s="121"/>
      <c r="V64"/>
      <c r="W64"/>
      <c r="X64"/>
      <c r="Y64"/>
    </row>
    <row r="65" spans="1:30" s="143" customFormat="1" ht="18" customHeight="1" x14ac:dyDescent="0.25">
      <c r="A65" s="120">
        <f t="shared" si="0"/>
        <v>60</v>
      </c>
      <c r="C65" s="421" t="str">
        <f>+IF($K$2="EN",Text!$B$27,Text!$C$27)</f>
        <v>Europa</v>
      </c>
      <c r="D65" s="422"/>
      <c r="E65" s="436"/>
      <c r="F65" s="436"/>
      <c r="G65" s="382">
        <f>+[3]Backup!$J$859</f>
        <v>11545.454517500002</v>
      </c>
      <c r="H65" s="399">
        <f>+[3]Backup!$F$859</f>
        <v>11544.7028261</v>
      </c>
      <c r="I65" s="400">
        <f t="shared" si="10"/>
        <v>0.7516914000025281</v>
      </c>
      <c r="J65" s="462">
        <f t="shared" si="11"/>
        <v>6.5111368505954559E-5</v>
      </c>
      <c r="K65" s="126"/>
      <c r="L65" s="121"/>
      <c r="M65" s="121"/>
      <c r="N65" s="121"/>
      <c r="O65" s="121"/>
      <c r="P65" s="121"/>
      <c r="Q65" s="121"/>
      <c r="T65" s="463"/>
      <c r="V65"/>
      <c r="W65"/>
      <c r="X65"/>
      <c r="Y65"/>
    </row>
    <row r="66" spans="1:30" s="143" customFormat="1" ht="18" customHeight="1" x14ac:dyDescent="0.4">
      <c r="A66" s="120">
        <f t="shared" si="0"/>
        <v>61</v>
      </c>
      <c r="C66" s="421" t="str">
        <f>+IF($K$2="EN",Text!$B$34,Text!$C$34)</f>
        <v>América do Norte</v>
      </c>
      <c r="D66" s="422"/>
      <c r="E66" s="442"/>
      <c r="F66" s="442"/>
      <c r="G66" s="382">
        <f>+[3]Backup!$J$879</f>
        <v>23346.764384100003</v>
      </c>
      <c r="H66" s="399">
        <f>+[3]Backup!$F$879</f>
        <v>20169.673006500001</v>
      </c>
      <c r="I66" s="400">
        <f t="shared" si="10"/>
        <v>3177.0913776000016</v>
      </c>
      <c r="J66" s="401">
        <f t="shared" si="11"/>
        <v>0.15751823921865937</v>
      </c>
      <c r="K66" s="126"/>
      <c r="V66"/>
      <c r="W66"/>
      <c r="X66"/>
      <c r="Y66"/>
    </row>
    <row r="67" spans="1:30" s="143" customFormat="1" ht="18" customHeight="1" x14ac:dyDescent="0.4">
      <c r="A67" s="120">
        <f t="shared" si="0"/>
        <v>62</v>
      </c>
      <c r="C67" s="421" t="str">
        <f>+IF($K$2="EN",Text!$B$40,Text!$C$40)</f>
        <v>América do Sul</v>
      </c>
      <c r="D67" s="422"/>
      <c r="E67" s="442"/>
      <c r="F67" s="442"/>
      <c r="G67" s="382">
        <f>+[3]Backup!$J$884</f>
        <v>4184.3642978999997</v>
      </c>
      <c r="H67" s="399">
        <f>+[3]Backup!$F$884</f>
        <v>3440.9851900000008</v>
      </c>
      <c r="I67" s="400">
        <f t="shared" si="10"/>
        <v>743.37910789999887</v>
      </c>
      <c r="J67" s="401">
        <f t="shared" si="11"/>
        <v>0.21603670659797247</v>
      </c>
      <c r="K67" s="126"/>
      <c r="V67"/>
      <c r="W67"/>
      <c r="X67"/>
      <c r="Y67"/>
      <c r="AB67" s="122"/>
      <c r="AC67" s="122"/>
      <c r="AD67" s="122"/>
    </row>
    <row r="68" spans="1:30" s="143" customFormat="1" ht="18" customHeight="1" x14ac:dyDescent="0.4">
      <c r="A68" s="120">
        <f t="shared" si="0"/>
        <v>63</v>
      </c>
      <c r="C68" s="421" t="str">
        <f>+IF($K$2="EN",Text!$B$46,Text!$C$46)</f>
        <v>APAC</v>
      </c>
      <c r="D68" s="419"/>
      <c r="E68" s="442"/>
      <c r="F68" s="442"/>
      <c r="G68" s="382">
        <f>+[3]Backup!$J$889</f>
        <v>1527.1904300000006</v>
      </c>
      <c r="H68" s="402">
        <f>+[3]Backup!$F$889</f>
        <v>1396.1159899999996</v>
      </c>
      <c r="I68" s="403">
        <f t="shared" si="10"/>
        <v>131.074440000001</v>
      </c>
      <c r="J68" s="401">
        <f t="shared" si="11"/>
        <v>9.3885064664291251E-2</v>
      </c>
      <c r="K68" s="126"/>
      <c r="V68"/>
      <c r="W68"/>
      <c r="X68"/>
      <c r="Y68"/>
      <c r="AB68" s="122"/>
      <c r="AC68" s="122"/>
      <c r="AD68" s="122"/>
    </row>
    <row r="69" spans="1:30" ht="18" customHeight="1" x14ac:dyDescent="0.25">
      <c r="A69" s="120">
        <f t="shared" si="0"/>
        <v>64</v>
      </c>
      <c r="B69" s="156"/>
      <c r="K69" s="126"/>
      <c r="R69" s="143"/>
      <c r="T69" s="143"/>
      <c r="U69" s="143"/>
      <c r="V69"/>
      <c r="W69"/>
      <c r="X69"/>
      <c r="Y69"/>
      <c r="AB69" s="122"/>
      <c r="AC69" s="122"/>
      <c r="AD69" s="122"/>
    </row>
    <row r="70" spans="1:30" ht="18" customHeight="1" x14ac:dyDescent="0.25">
      <c r="A70" s="120">
        <f t="shared" si="0"/>
        <v>65</v>
      </c>
      <c r="B70" s="156"/>
      <c r="K70" s="126"/>
      <c r="R70" s="143"/>
      <c r="T70" s="396"/>
      <c r="U70"/>
      <c r="V70"/>
      <c r="W70"/>
      <c r="X70"/>
      <c r="Y70"/>
      <c r="AB70" s="122"/>
      <c r="AC70" s="122"/>
      <c r="AD70" s="122"/>
    </row>
    <row r="71" spans="1:30" ht="18" customHeight="1" x14ac:dyDescent="0.25">
      <c r="A71" s="120">
        <f t="shared" ref="A71:A96" si="13">A70+1</f>
        <v>66</v>
      </c>
      <c r="B71" s="156"/>
      <c r="R71" s="143"/>
      <c r="V71"/>
      <c r="W71"/>
      <c r="X71"/>
      <c r="Y71"/>
      <c r="AB71" s="122"/>
      <c r="AC71" s="122"/>
      <c r="AD71" s="122"/>
    </row>
    <row r="72" spans="1:30" ht="18" customHeight="1" thickBot="1" x14ac:dyDescent="0.55000000000000004">
      <c r="A72" s="120">
        <f t="shared" si="13"/>
        <v>67</v>
      </c>
      <c r="B72" s="156"/>
      <c r="C72" s="477" t="str">
        <f>+IF($K$2="EN",Text!$B$11,Text!$C$11)</f>
        <v>Fator de Utilização</v>
      </c>
      <c r="D72" s="145"/>
      <c r="E72" s="145"/>
      <c r="F72" s="145"/>
      <c r="G72" s="145"/>
      <c r="H72" s="145"/>
      <c r="I72" s="145"/>
      <c r="J72" s="145"/>
      <c r="L72" s="578" t="str">
        <f>C74</f>
        <v>NCF (%)</v>
      </c>
      <c r="M72" s="578"/>
      <c r="N72" s="579"/>
      <c r="O72" s="580" t="str">
        <f>+IF($K$2="EN",Text!$B$12,Text!$C$12)</f>
        <v>vs. P50 GCF (%)</v>
      </c>
      <c r="P72" s="581"/>
      <c r="Q72" s="581"/>
      <c r="R72" s="143"/>
      <c r="T72" s="397"/>
      <c r="V72"/>
      <c r="W72"/>
      <c r="X72"/>
      <c r="Y72"/>
      <c r="AB72" s="122"/>
      <c r="AC72" s="122"/>
      <c r="AD72" s="122"/>
    </row>
    <row r="73" spans="1:30" ht="18" customHeight="1" x14ac:dyDescent="0.25">
      <c r="A73" s="120">
        <f t="shared" si="13"/>
        <v>68</v>
      </c>
      <c r="B73" s="156"/>
      <c r="C73" s="143"/>
      <c r="D73" s="143"/>
      <c r="E73" s="143"/>
      <c r="F73" s="143"/>
      <c r="G73" s="143"/>
      <c r="H73" s="143"/>
      <c r="I73" s="143"/>
      <c r="J73" s="143"/>
      <c r="R73" s="143"/>
      <c r="S73" s="394"/>
      <c r="V73"/>
      <c r="W73"/>
      <c r="X73"/>
      <c r="Y73"/>
      <c r="AB73" s="122"/>
      <c r="AC73" s="122"/>
      <c r="AD73" s="122"/>
    </row>
    <row r="74" spans="1:30" ht="18" customHeight="1" x14ac:dyDescent="0.25">
      <c r="A74" s="120">
        <f t="shared" si="13"/>
        <v>69</v>
      </c>
      <c r="B74" s="156"/>
      <c r="C74" s="474" t="s">
        <v>42</v>
      </c>
      <c r="D74" s="474"/>
      <c r="E74" s="474"/>
      <c r="F74" s="492">
        <f>+Cur_Period</f>
        <v>2025</v>
      </c>
      <c r="G74" s="492">
        <f>+Pre_Period</f>
        <v>2024</v>
      </c>
      <c r="H74" s="493" t="s">
        <v>13</v>
      </c>
      <c r="I74" s="492" t="str">
        <f>+F2</f>
        <v>4Q25</v>
      </c>
      <c r="J74" s="492" t="str">
        <f>+F3</f>
        <v>4Q24</v>
      </c>
      <c r="L74" s="588" t="str">
        <f>+IF($K$2="EN",Text!$B$27,Text!$C$27)</f>
        <v>Europa</v>
      </c>
      <c r="R74" s="143"/>
      <c r="S74" s="394"/>
      <c r="V74"/>
      <c r="W74"/>
      <c r="X74"/>
      <c r="Y74"/>
      <c r="AB74" s="122"/>
      <c r="AC74" s="122"/>
      <c r="AD74" s="122"/>
    </row>
    <row r="75" spans="1:30" ht="18" customHeight="1" x14ac:dyDescent="0.25">
      <c r="A75" s="120">
        <f t="shared" si="13"/>
        <v>70</v>
      </c>
      <c r="B75" s="156"/>
      <c r="C75" s="512" t="str">
        <f>+IF($K$2="EN",Text!$B$21,Text!$C$21)</f>
        <v>Eólico Onshore</v>
      </c>
      <c r="D75" s="475"/>
      <c r="E75" s="475"/>
      <c r="F75" s="513" vm="150">
        <f>+[3]Backup!$J$811</f>
        <v>0.29041024626370576</v>
      </c>
      <c r="G75" s="514" vm="40">
        <f>+[3]Backup!$F$811</f>
        <v>0.29345519724520736</v>
      </c>
      <c r="H75" s="554">
        <f>+(F75-G75)*100</f>
        <v>-0.30449509815015929</v>
      </c>
      <c r="I75" s="513" vm="75">
        <f>+[3]Backup!$X$811</f>
        <v>0.31056972445358222</v>
      </c>
      <c r="J75" s="514" vm="360">
        <f>+[3]Backup!$T$811</f>
        <v>0.32195735400347436</v>
      </c>
      <c r="K75" s="126"/>
      <c r="L75" s="588"/>
      <c r="M75" s="143"/>
      <c r="N75" s="143"/>
      <c r="O75" s="143"/>
      <c r="P75" s="143"/>
      <c r="Q75" s="143"/>
      <c r="R75" s="143"/>
      <c r="S75" s="464"/>
      <c r="V75"/>
      <c r="W75"/>
      <c r="X75"/>
      <c r="Y75"/>
      <c r="AB75" s="122"/>
      <c r="AC75" s="122"/>
      <c r="AD75" s="122"/>
    </row>
    <row r="76" spans="1:30" ht="18" customHeight="1" x14ac:dyDescent="0.25">
      <c r="A76" s="120">
        <f t="shared" si="13"/>
        <v>71</v>
      </c>
      <c r="B76" s="156"/>
      <c r="C76" s="428" t="str">
        <f>+IF($K$2="EN",Text!$B$28,Text!$C$28)</f>
        <v>Espanha</v>
      </c>
      <c r="D76" s="422"/>
      <c r="E76" s="422"/>
      <c r="F76" s="384" vm="242">
        <f>+[3]Backup!$J$813</f>
        <v>0.23414602229969042</v>
      </c>
      <c r="G76" s="385" vm="183">
        <f>+[3]Backup!$F$813</f>
        <v>0.24573514537632035</v>
      </c>
      <c r="H76" s="386">
        <f t="shared" ref="H76:H88" si="14">+(F76-G76)*100</f>
        <v>-1.1589123076629932</v>
      </c>
      <c r="I76" s="384" vm="249">
        <f>+[3]Backup!$X$813</f>
        <v>0.25993293798505934</v>
      </c>
      <c r="J76" s="385" vm="214">
        <f>+[3]Backup!$T$813</f>
        <v>0.26087005045318695</v>
      </c>
      <c r="K76" s="126"/>
      <c r="L76" s="565"/>
      <c r="R76" s="143"/>
      <c r="S76" s="394"/>
      <c r="V76"/>
      <c r="W76"/>
      <c r="X76"/>
      <c r="Y76"/>
      <c r="AB76" s="122"/>
      <c r="AC76" s="122"/>
      <c r="AD76" s="122"/>
    </row>
    <row r="77" spans="1:30" ht="18" customHeight="1" x14ac:dyDescent="0.25">
      <c r="A77" s="120">
        <f t="shared" si="13"/>
        <v>72</v>
      </c>
      <c r="B77" s="156"/>
      <c r="C77" s="428" t="str">
        <f>+IF($K$2="EN",Text!$B$29,Text!$C$29)</f>
        <v>Portugal</v>
      </c>
      <c r="D77" s="422"/>
      <c r="E77" s="422"/>
      <c r="F77" s="384" vm="200">
        <f>+[3]Backup!$J$814</f>
        <v>0.2784273012021769</v>
      </c>
      <c r="G77" s="385" vm="269">
        <f>+[3]Backup!$F$814</f>
        <v>0.28543046623967533</v>
      </c>
      <c r="H77" s="386">
        <f t="shared" si="14"/>
        <v>-0.70031650374984267</v>
      </c>
      <c r="I77" s="384" vm="253">
        <f>+[3]Backup!$X$814</f>
        <v>0.28706257090032106</v>
      </c>
      <c r="J77" s="385" vm="247">
        <f>+[3]Backup!$T$814</f>
        <v>0.32672717342066987</v>
      </c>
      <c r="K77" s="126"/>
      <c r="L77" s="589" t="str">
        <f>+IF($K$2="EN",Text!$B$51,Text!$C$51)</f>
        <v>América do N.</v>
      </c>
      <c r="R77" s="143"/>
      <c r="S77" s="464"/>
      <c r="V77"/>
      <c r="W77"/>
      <c r="X77"/>
      <c r="Y77"/>
      <c r="AB77" s="122"/>
      <c r="AC77" s="122"/>
      <c r="AD77" s="122"/>
    </row>
    <row r="78" spans="1:30" ht="18" customHeight="1" x14ac:dyDescent="0.25">
      <c r="A78" s="120">
        <f t="shared" si="13"/>
        <v>73</v>
      </c>
      <c r="C78" s="428" t="str">
        <f>+IF($K$2="EN",Text!$B$30,Text!$C$30)</f>
        <v>Resto da Europa</v>
      </c>
      <c r="D78" s="427"/>
      <c r="E78" s="427"/>
      <c r="F78" s="384" vm="250">
        <f>+[3]Backup!$J$815</f>
        <v>0.2327083662742768</v>
      </c>
      <c r="G78" s="385" vm="223">
        <f>+[3]Backup!$F$815</f>
        <v>0.25389541856090131</v>
      </c>
      <c r="H78" s="386">
        <f t="shared" si="14"/>
        <v>-2.1187052286624515</v>
      </c>
      <c r="I78" s="384" vm="212">
        <f>+[3]Backup!$X$815</f>
        <v>0.25839678366204671</v>
      </c>
      <c r="J78" s="385" vm="257">
        <f>+[3]Backup!$T$815</f>
        <v>0.2771681064009246</v>
      </c>
      <c r="K78" s="126"/>
      <c r="L78" s="589"/>
      <c r="R78" s="143"/>
      <c r="S78" s="394"/>
      <c r="W78"/>
      <c r="X78"/>
      <c r="Y78"/>
      <c r="AB78" s="122"/>
      <c r="AC78" s="122"/>
      <c r="AD78" s="122"/>
    </row>
    <row r="79" spans="1:30" ht="18" customHeight="1" x14ac:dyDescent="0.25">
      <c r="A79" s="120">
        <f t="shared" si="13"/>
        <v>74</v>
      </c>
      <c r="B79" s="156"/>
      <c r="C79" s="421" t="str">
        <f>+IF($K$2="EN",Text!$B$27,Text!$C$27)</f>
        <v>Europa</v>
      </c>
      <c r="D79" s="422"/>
      <c r="E79" s="422"/>
      <c r="F79" s="384" vm="234">
        <f>+[3]Backup!$J$812</f>
        <v>0.24440605238771748</v>
      </c>
      <c r="G79" s="385" vm="203">
        <f>+[3]Backup!$F$812</f>
        <v>0.25842373995037249</v>
      </c>
      <c r="H79" s="386">
        <f t="shared" si="14"/>
        <v>-1.4017687562655006</v>
      </c>
      <c r="I79" s="384" vm="220">
        <f>+[3]Backup!$X$812</f>
        <v>0.26598292130839779</v>
      </c>
      <c r="J79" s="385" vm="197">
        <f>+[3]Backup!$T$812</f>
        <v>0.28295951540324626</v>
      </c>
      <c r="K79" s="126"/>
      <c r="L79" s="588" t="str">
        <f>+IF(PT!$K$2="EN",Text!$B$52,Text!$C$52)</f>
        <v>América do S.</v>
      </c>
      <c r="R79" s="143"/>
      <c r="S79" s="464"/>
      <c r="W79"/>
      <c r="X79"/>
      <c r="Y79"/>
      <c r="AB79" s="122"/>
      <c r="AC79" s="122"/>
      <c r="AD79" s="122"/>
    </row>
    <row r="80" spans="1:30" ht="18" customHeight="1" x14ac:dyDescent="0.25">
      <c r="A80" s="120">
        <f t="shared" si="13"/>
        <v>75</v>
      </c>
      <c r="B80" s="156"/>
      <c r="C80" s="421" t="str">
        <f>+IF($K$2="EN",Text!$B$34,Text!$C$34)</f>
        <v>América do Norte</v>
      </c>
      <c r="D80" s="422"/>
      <c r="E80" s="422"/>
      <c r="F80" s="384" vm="246">
        <f>+[3]Backup!$J$816</f>
        <v>0.31393801173749014</v>
      </c>
      <c r="G80" s="385" vm="229">
        <f>+[3]Backup!$F$816</f>
        <v>0.30853198567680407</v>
      </c>
      <c r="H80" s="386">
        <f t="shared" si="14"/>
        <v>0.54060260606860755</v>
      </c>
      <c r="I80" s="384" vm="263">
        <f>+[3]Backup!$X$816</f>
        <v>0.33686758635089442</v>
      </c>
      <c r="J80" s="385" vm="241">
        <f>+[3]Backup!$T$816</f>
        <v>0.33615886993503946</v>
      </c>
      <c r="K80" s="126"/>
      <c r="L80" s="588"/>
      <c r="R80" s="143"/>
      <c r="S80" s="465"/>
      <c r="W80"/>
      <c r="X80"/>
      <c r="Y80"/>
      <c r="Z80" s="122"/>
      <c r="AA80" s="122"/>
      <c r="AB80" s="122"/>
      <c r="AC80" s="122"/>
      <c r="AD80" s="122"/>
    </row>
    <row r="81" spans="1:34" ht="18" customHeight="1" x14ac:dyDescent="0.25">
      <c r="A81" s="120">
        <f t="shared" si="13"/>
        <v>76</v>
      </c>
      <c r="B81" s="156"/>
      <c r="C81" s="421" t="str">
        <f>+IF($K$2="EN",Text!$B$40,Text!$C$40)</f>
        <v>América do Sul</v>
      </c>
      <c r="D81" s="429"/>
      <c r="E81" s="429"/>
      <c r="F81" s="384" vm="187">
        <f>+[3]Backup!$J$819</f>
        <v>0.37299317635476309</v>
      </c>
      <c r="G81" s="385" vm="235">
        <f>+[3]Backup!$F$819</f>
        <v>0.38960122874957143</v>
      </c>
      <c r="H81" s="386">
        <f t="shared" si="14"/>
        <v>-1.6608052394808337</v>
      </c>
      <c r="I81" s="384" vm="175">
        <f>+[3]Backup!$X$819</f>
        <v>0.36401389351808283</v>
      </c>
      <c r="J81" s="385" vm="227">
        <f>+[3]Backup!$T$819</f>
        <v>0.43125724196546211</v>
      </c>
      <c r="K81" s="126"/>
      <c r="L81" s="565"/>
      <c r="R81" s="143"/>
      <c r="S81" s="465"/>
      <c r="W81"/>
      <c r="X81"/>
      <c r="Y81"/>
      <c r="Z81" s="122"/>
      <c r="AA81" s="122"/>
      <c r="AB81" s="122"/>
      <c r="AC81" s="122"/>
      <c r="AD81" s="122"/>
    </row>
    <row r="82" spans="1:34" ht="18" customHeight="1" x14ac:dyDescent="0.25">
      <c r="A82" s="120">
        <f t="shared" si="13"/>
        <v>77</v>
      </c>
      <c r="B82" s="156"/>
      <c r="C82" s="475" t="str">
        <f>+IF($K$2="EN",Text!$B$24,Text!$C$24)</f>
        <v>Solar Centralizado</v>
      </c>
      <c r="D82" s="515"/>
      <c r="E82" s="515"/>
      <c r="F82" s="516" vm="208">
        <f>+[3]Backup!$J$806</f>
        <v>0.23078067268922897</v>
      </c>
      <c r="G82" s="517" vm="82">
        <f>+[3]Backup!$F$806</f>
        <v>0.21057496920176114</v>
      </c>
      <c r="H82" s="518">
        <f t="shared" si="14"/>
        <v>2.0205703487467837</v>
      </c>
      <c r="I82" s="516" vm="84">
        <f>+[3]Backup!$X$806</f>
        <v>0.17803943488046148</v>
      </c>
      <c r="J82" s="517" vm="254">
        <f>+[3]Backup!$T$806</f>
        <v>0.17423767300638202</v>
      </c>
      <c r="K82" s="126"/>
      <c r="L82" s="565" t="s">
        <v>32</v>
      </c>
      <c r="R82" s="143"/>
      <c r="S82" s="465"/>
      <c r="Y82" s="133"/>
      <c r="Z82" s="122"/>
      <c r="AA82" s="122"/>
      <c r="AB82" s="122"/>
      <c r="AC82" s="122"/>
      <c r="AD82" s="122"/>
    </row>
    <row r="83" spans="1:34" ht="18" customHeight="1" x14ac:dyDescent="0.25">
      <c r="A83" s="120">
        <f t="shared" si="13"/>
        <v>78</v>
      </c>
      <c r="B83" s="156"/>
      <c r="C83" s="519" t="str">
        <f>+IF($K$2="EN",Text!$B$25,Text!$C$25)</f>
        <v>Solar DG</v>
      </c>
      <c r="D83" s="478"/>
      <c r="E83" s="478"/>
      <c r="F83" s="520">
        <f>+[3]Backup!$J$807</f>
        <v>0.14634841019784742</v>
      </c>
      <c r="G83" s="521" vm="245">
        <f>+[3]Backup!$F$807</f>
        <v>0.13514174719843694</v>
      </c>
      <c r="H83" s="507">
        <f t="shared" si="14"/>
        <v>1.1206662999410477</v>
      </c>
      <c r="I83" s="520">
        <f>+[3]Backup!$X$807</f>
        <v>0.13192635134365699</v>
      </c>
      <c r="J83" s="521" vm="207">
        <f>+[3]Backup!$T$807</f>
        <v>0.12506493997290327</v>
      </c>
      <c r="K83" s="126"/>
      <c r="L83" s="168"/>
      <c r="R83" s="143"/>
      <c r="S83" s="121" t="s">
        <v>43</v>
      </c>
      <c r="Y83" s="133"/>
      <c r="Z83" s="122"/>
      <c r="AA83" s="122"/>
      <c r="AB83" s="122"/>
      <c r="AC83" s="122"/>
      <c r="AD83" s="122"/>
    </row>
    <row r="84" spans="1:34" ht="18" customHeight="1" x14ac:dyDescent="0.25">
      <c r="A84" s="120">
        <f t="shared" si="13"/>
        <v>79</v>
      </c>
      <c r="C84" s="478" t="str">
        <f>C37</f>
        <v>EDPR</v>
      </c>
      <c r="D84" s="478"/>
      <c r="E84" s="478"/>
      <c r="F84" s="505" vm="233">
        <f>+[3]Backup!$J$758</f>
        <v>0.27716056530796901</v>
      </c>
      <c r="G84" s="522" vm="39">
        <f>+[3]Backup!$F$758</f>
        <v>0.27949810330195163</v>
      </c>
      <c r="H84" s="523">
        <f t="shared" si="14"/>
        <v>-0.23375379939826191</v>
      </c>
      <c r="I84" s="505" vm="225">
        <f>+[3]Backup!$X$758</f>
        <v>0.27591022220818273</v>
      </c>
      <c r="J84" s="522" vm="191">
        <f>+[3]Backup!$T$758</f>
        <v>0.29828599920097021</v>
      </c>
      <c r="K84" s="126"/>
      <c r="L84" s="394"/>
      <c r="R84" s="143"/>
      <c r="S84" s="121" t="s">
        <v>44</v>
      </c>
      <c r="V84" s="143"/>
      <c r="Y84" s="133"/>
      <c r="Z84" s="122"/>
      <c r="AA84" s="122"/>
      <c r="AB84" s="122"/>
      <c r="AC84" s="122"/>
      <c r="AD84" s="122"/>
    </row>
    <row r="85" spans="1:34" s="143" customFormat="1" ht="18" customHeight="1" thickBot="1" x14ac:dyDescent="0.55000000000000004">
      <c r="A85" s="120">
        <f t="shared" si="13"/>
        <v>80</v>
      </c>
      <c r="C85" s="421" t="str">
        <f>+IF($K$2="EN",Text!$B$27,Text!$C$27)</f>
        <v>Europa</v>
      </c>
      <c r="D85" s="422"/>
      <c r="E85" s="422"/>
      <c r="F85" s="438" vm="192">
        <f>+[3]Backup!$J$760</f>
        <v>0.23493957216475803</v>
      </c>
      <c r="G85" s="439" vm="256">
        <f>+[3]Backup!$F$760</f>
        <v>0.25368455574464371</v>
      </c>
      <c r="H85" s="440">
        <f t="shared" si="14"/>
        <v>-1.8744983579885688</v>
      </c>
      <c r="I85" s="438" vm="251">
        <f>+[3]Backup!$X$760</f>
        <v>0.24342689887208313</v>
      </c>
      <c r="J85" s="439" vm="252">
        <f>+[3]Backup!$T$760</f>
        <v>0.27059952894801265</v>
      </c>
      <c r="K85" s="126"/>
      <c r="L85" s="504" t="str">
        <f>+IF($K$2="EN",Text!$B$13,Text!$C$13)</f>
        <v>Índ. Renov. (vs. P50 Fator de Utilização Bruto)</v>
      </c>
      <c r="M85" s="145"/>
      <c r="N85" s="145"/>
      <c r="O85" s="145"/>
      <c r="P85" s="145"/>
      <c r="Q85" s="145"/>
      <c r="S85" s="121"/>
      <c r="T85" s="291"/>
      <c r="U85" s="291"/>
      <c r="V85" s="291"/>
      <c r="W85" s="292"/>
      <c r="X85"/>
      <c r="Y85"/>
      <c r="Z85"/>
      <c r="AA85"/>
      <c r="AB85"/>
      <c r="AC85"/>
      <c r="AD85"/>
      <c r="AE85"/>
      <c r="AF85"/>
      <c r="AG85" s="121"/>
      <c r="AH85" s="121"/>
    </row>
    <row r="86" spans="1:34" ht="18" customHeight="1" x14ac:dyDescent="0.25">
      <c r="A86" s="120">
        <f t="shared" si="13"/>
        <v>81</v>
      </c>
      <c r="C86" s="421" t="str">
        <f>+IF($K$2="EN",Text!$B$34,Text!$C$34)</f>
        <v>América do Norte</v>
      </c>
      <c r="D86" s="422"/>
      <c r="E86" s="422"/>
      <c r="F86" s="438" vm="84">
        <f>+[3]Backup!$J$775</f>
        <v>0.30395551415516464</v>
      </c>
      <c r="G86" s="441" vm="193">
        <f>+[3]Backup!$F$775</f>
        <v>0.30475687144410402</v>
      </c>
      <c r="H86" s="558">
        <f t="shared" si="14"/>
        <v>-8.0135728893937497E-2</v>
      </c>
      <c r="I86" s="438" vm="184">
        <f>+[3]Backup!$X$775</f>
        <v>0.2981195483796294</v>
      </c>
      <c r="J86" s="441" vm="84">
        <f>+[3]Backup!$T$775</f>
        <v>0.32765662797159173</v>
      </c>
      <c r="K86" s="126"/>
      <c r="R86" s="143"/>
      <c r="T86" s="291"/>
      <c r="U86" s="291"/>
      <c r="V86" s="143"/>
      <c r="Y86" s="133"/>
      <c r="Z86" s="122"/>
      <c r="AA86" s="122"/>
      <c r="AB86" s="122"/>
      <c r="AC86" s="122"/>
      <c r="AD86" s="122"/>
    </row>
    <row r="87" spans="1:34" ht="18" customHeight="1" x14ac:dyDescent="0.25">
      <c r="A87" s="120">
        <f t="shared" si="13"/>
        <v>82</v>
      </c>
      <c r="C87" s="421" t="str">
        <f>+IF($K$2="EN",Text!$B$40,Text!$C$40)</f>
        <v>América do Sul</v>
      </c>
      <c r="D87" s="422"/>
      <c r="E87" s="422"/>
      <c r="F87" s="438" vm="231">
        <f>+[3]Backup!$J$784</f>
        <v>0.30273242222756419</v>
      </c>
      <c r="G87" s="439" vm="185">
        <f>+[3]Backup!$F$784</f>
        <v>0.34185295611073863</v>
      </c>
      <c r="H87" s="440">
        <f t="shared" si="14"/>
        <v>-3.9120533883174433</v>
      </c>
      <c r="I87" s="438" vm="206">
        <f>+[3]Backup!$X$784</f>
        <v>0.29957577264828056</v>
      </c>
      <c r="J87" s="439" vm="189">
        <f>+[3]Backup!$T$784</f>
        <v>0.37005751936117626</v>
      </c>
      <c r="K87" s="126"/>
      <c r="L87" s="474" t="s">
        <v>45</v>
      </c>
      <c r="M87" s="474"/>
      <c r="N87" s="474"/>
      <c r="O87" s="492">
        <f>+Cur_Period</f>
        <v>2025</v>
      </c>
      <c r="P87" s="492">
        <f>+Pre_Period</f>
        <v>2024</v>
      </c>
      <c r="Q87" s="493" t="s">
        <v>13</v>
      </c>
      <c r="R87" s="143"/>
      <c r="T87" s="291"/>
      <c r="U87" s="291"/>
      <c r="V87" s="143"/>
      <c r="Y87" s="133"/>
      <c r="Z87" s="122"/>
      <c r="AA87" s="122"/>
      <c r="AB87" s="122"/>
      <c r="AC87" s="122"/>
      <c r="AD87" s="122"/>
    </row>
    <row r="88" spans="1:34" ht="18" customHeight="1" x14ac:dyDescent="0.25">
      <c r="A88" s="120">
        <f t="shared" si="13"/>
        <v>83</v>
      </c>
      <c r="C88" s="421" t="str">
        <f>+IF($K$2="EN",Text!$B$46,Text!$C$46)</f>
        <v>APAC</v>
      </c>
      <c r="D88" s="419"/>
      <c r="E88" s="419"/>
      <c r="F88" s="438">
        <f>+[3]Backup!$J$789</f>
        <v>0.16534071417559884</v>
      </c>
      <c r="G88" s="441" vm="13">
        <f>+[3]Backup!$F$789</f>
        <v>0.168966314447727</v>
      </c>
      <c r="H88" s="558">
        <f t="shared" si="14"/>
        <v>-0.36256002721281599</v>
      </c>
      <c r="I88" s="438">
        <f>+[3]Backup!$X$789</f>
        <v>0.13928454212445901</v>
      </c>
      <c r="J88" s="441" vm="190">
        <f>+[3]Backup!$T$789</f>
        <v>0.14738307267094605</v>
      </c>
      <c r="K88" s="126"/>
      <c r="L88" s="478" t="str">
        <f>C37</f>
        <v>EDPR</v>
      </c>
      <c r="M88" s="478"/>
      <c r="N88" s="478"/>
      <c r="O88" s="505">
        <f>+[3]Backup!$J$839</f>
        <v>0.94718714126695358</v>
      </c>
      <c r="P88" s="506">
        <f>+[3]Backup!$F$839</f>
        <v>0.97637810627529453</v>
      </c>
      <c r="Q88" s="507">
        <f>+(O88-P88)*100</f>
        <v>-2.9190965008340952</v>
      </c>
      <c r="R88" s="143"/>
      <c r="S88" s="121" t="s">
        <v>46</v>
      </c>
      <c r="T88" s="291"/>
      <c r="U88" s="291"/>
      <c r="Y88" s="133"/>
      <c r="Z88" s="173"/>
    </row>
    <row r="89" spans="1:34" ht="18" customHeight="1" x14ac:dyDescent="0.35">
      <c r="A89" s="120">
        <f t="shared" si="13"/>
        <v>84</v>
      </c>
      <c r="L89" s="508"/>
      <c r="M89" s="508"/>
      <c r="N89" s="508"/>
      <c r="O89" s="508"/>
      <c r="P89" s="508"/>
      <c r="Q89" s="509"/>
      <c r="R89" s="143"/>
      <c r="S89" s="143"/>
      <c r="T89" s="291"/>
      <c r="U89" s="291"/>
      <c r="Y89" s="133"/>
      <c r="Z89" s="173"/>
    </row>
    <row r="90" spans="1:34" ht="18" customHeight="1" x14ac:dyDescent="0.25">
      <c r="A90" s="120">
        <f t="shared" si="13"/>
        <v>85</v>
      </c>
      <c r="Q90" s="143"/>
      <c r="R90" s="143"/>
      <c r="S90" s="143"/>
      <c r="Y90" s="133"/>
      <c r="Z90" s="173"/>
    </row>
    <row r="91" spans="1:34" ht="18" customHeight="1" x14ac:dyDescent="0.25">
      <c r="A91" s="120">
        <f t="shared" si="13"/>
        <v>86</v>
      </c>
      <c r="Y91" s="133"/>
      <c r="Z91" s="173"/>
    </row>
    <row r="92" spans="1:34" ht="18" customHeight="1" x14ac:dyDescent="0.25">
      <c r="A92" s="120">
        <f t="shared" si="13"/>
        <v>87</v>
      </c>
      <c r="C92" s="390" t="str">
        <f>+IF($K$2="EN",Text!$B$69,Text!$C$69)</f>
        <v xml:space="preserve">(1) A variação RdA/Descom. considera o descomissionamento de 33 MW na América do Norte, 9 MW na APAC e 1 MW na França. </v>
      </c>
      <c r="Y92" s="133"/>
    </row>
    <row r="93" spans="1:34" ht="18" customHeight="1" x14ac:dyDescent="0.25">
      <c r="A93" s="120">
        <f t="shared" si="13"/>
        <v>88</v>
      </c>
      <c r="C93" s="390" t="str">
        <f>+IF($K$2="EN",Text!$B$71,Text!$C$71)</f>
        <v>Nota: Capacidade solar e fatores de utilização solares reportados em MWac. BESS: Battery Energy Storage Systems.</v>
      </c>
      <c r="Y93" s="133"/>
      <c r="Z93" s="174"/>
    </row>
    <row r="94" spans="1:34" ht="18" customHeight="1" x14ac:dyDescent="0.25">
      <c r="A94" s="120">
        <f t="shared" si="13"/>
        <v>89</v>
      </c>
      <c r="T94" s="287"/>
      <c r="Y94" s="133"/>
      <c r="Z94" s="174"/>
    </row>
    <row r="95" spans="1:34" ht="18" customHeight="1" x14ac:dyDescent="0.25">
      <c r="A95" s="120">
        <f t="shared" si="13"/>
        <v>90</v>
      </c>
      <c r="N95" s="567" t="str">
        <f>+IF($K$2="EN",Text!$B$72,Text!$C$72)</f>
        <v>Relações com Investidores EDPR</v>
      </c>
      <c r="O95" s="567"/>
      <c r="P95" s="567"/>
      <c r="Q95" s="568" t="str">
        <f>+IF($K$2="EN",Text!$B$73,Text!$C$73)</f>
        <v>Telefone: +34 900 830 004</v>
      </c>
      <c r="R95" s="569"/>
      <c r="Y95" s="133"/>
      <c r="Z95" s="174"/>
    </row>
    <row r="96" spans="1:34" ht="18" customHeight="1" x14ac:dyDescent="0.25">
      <c r="A96" s="120">
        <f t="shared" si="13"/>
        <v>91</v>
      </c>
      <c r="C96" s="414" t="str">
        <f>+IF($K$2="EN",Text!$B$76,Text!$C$76)</f>
        <v>EDP Renováveis, S.A. | Sede: Plaza del Fresno, 2 - 33007  Oviedo, Espanha</v>
      </c>
      <c r="O96" s="567" t="str">
        <f>+IF($K$2="EN",Text!$B$75,Text!$C$75)</f>
        <v>Site: www.edpr-investors.com</v>
      </c>
      <c r="P96" s="567"/>
      <c r="Q96" s="413" t="str">
        <f>+IF($K$2="EN",Text!$B$74,Text!$C$74)</f>
        <v>Email: ir@edpr.com</v>
      </c>
    </row>
    <row r="97" spans="1:27" ht="18" customHeight="1" x14ac:dyDescent="0.25">
      <c r="A97" s="120">
        <v>1</v>
      </c>
    </row>
    <row r="98" spans="1:27" ht="51" customHeight="1" thickBot="1" x14ac:dyDescent="0.4">
      <c r="A98" s="120">
        <f t="shared" ref="A98:A161" si="15">A97+1</f>
        <v>2</v>
      </c>
      <c r="C98" s="473" t="str">
        <f>+IF($K$2="EN",Text!$B$2,Text!$C$2)</f>
        <v>Dados Operacionais Previsionais 2025</v>
      </c>
      <c r="I98" s="411"/>
      <c r="K98" s="156"/>
      <c r="L98" s="129"/>
      <c r="M98" s="124" t="str">
        <f>+IF($N$2="YES","DRAFT","")</f>
        <v/>
      </c>
      <c r="N98" s="412"/>
      <c r="T98" s="132" t="s">
        <v>47</v>
      </c>
      <c r="U98" s="132"/>
      <c r="V98" s="132"/>
    </row>
    <row r="99" spans="1:27" ht="18" customHeight="1" x14ac:dyDescent="0.25">
      <c r="A99" s="120">
        <f t="shared" si="15"/>
        <v>3</v>
      </c>
      <c r="C99" s="525" t="str">
        <f>+IF($K$2="EN",Text!$B$5,Text!$C$5)</f>
        <v>Madrid, 22 de janeiro de 2026</v>
      </c>
      <c r="D99" s="177"/>
      <c r="E99" s="177"/>
      <c r="F99" s="177"/>
      <c r="G99" s="177"/>
      <c r="H99" s="177"/>
      <c r="I99" s="177"/>
      <c r="J99" s="177"/>
      <c r="K99" s="177"/>
      <c r="L99" s="177"/>
      <c r="M99" s="177"/>
      <c r="N99" s="177"/>
      <c r="O99" s="177"/>
      <c r="P99" s="177"/>
      <c r="Q99" s="177"/>
      <c r="X99" s="337" t="s">
        <v>48</v>
      </c>
    </row>
    <row r="100" spans="1:27" ht="18" customHeight="1" x14ac:dyDescent="0.25">
      <c r="A100" s="120">
        <f t="shared" si="15"/>
        <v>4</v>
      </c>
      <c r="T100" s="136" t="s">
        <v>9</v>
      </c>
      <c r="U100" s="137">
        <f>+Cur_Period</f>
        <v>2025</v>
      </c>
      <c r="V100" s="137" t="s">
        <v>49</v>
      </c>
      <c r="X100" s="137" t="s">
        <v>50</v>
      </c>
    </row>
    <row r="101" spans="1:27" ht="18" customHeight="1" thickBot="1" x14ac:dyDescent="0.55000000000000004">
      <c r="A101" s="120">
        <f t="shared" si="15"/>
        <v>5</v>
      </c>
      <c r="C101" s="477" t="str">
        <f>C30</f>
        <v>Capacidade Instalada</v>
      </c>
      <c r="D101" s="145"/>
      <c r="E101" s="145"/>
      <c r="F101" s="145"/>
      <c r="G101" s="145"/>
      <c r="H101" s="145"/>
      <c r="I101" s="145"/>
      <c r="J101" s="145"/>
      <c r="L101" s="570" t="str">
        <f>+IF($K$2="EN",Text!$B$14,Text!$C$14)</f>
        <v>Capacidade Instalada por Tecnologia</v>
      </c>
      <c r="M101" s="570"/>
      <c r="N101" s="570"/>
      <c r="O101" s="570"/>
      <c r="P101" s="570"/>
      <c r="Q101" s="570"/>
      <c r="T101" s="138" t="str">
        <f>+IF($K$2="EN",Text!$B$28,Text!$C$28)</f>
        <v>Espanha</v>
      </c>
      <c r="U101" s="183" vm="222">
        <f>+[3]Backup!$J$64</f>
        <v>2081.7400000000002</v>
      </c>
      <c r="V101" s="183">
        <f>U101-F104</f>
        <v>0</v>
      </c>
      <c r="X101" s="265" vm="177">
        <f>+[3]Backup!$F$64</f>
        <v>2334.6200000000008</v>
      </c>
      <c r="Y101" s="265">
        <f>ROUND(X101+I104-U101,1)</f>
        <v>0</v>
      </c>
    </row>
    <row r="102" spans="1:27" ht="18" customHeight="1" x14ac:dyDescent="0.25">
      <c r="A102" s="120">
        <f t="shared" si="15"/>
        <v>6</v>
      </c>
      <c r="G102" s="131"/>
      <c r="H102" s="481">
        <f>Cur_Year</f>
        <v>2025</v>
      </c>
      <c r="I102" s="131"/>
      <c r="T102" s="138" t="str">
        <f>+IF($K$2="EN",Text!$B$29,Text!$C$29)</f>
        <v>Portugal</v>
      </c>
      <c r="U102" s="183" vm="260">
        <f>+[3]Backup!$J$65</f>
        <v>1426.07</v>
      </c>
      <c r="V102" s="183">
        <f t="shared" ref="V102:V106" si="16">U102-F105</f>
        <v>0</v>
      </c>
      <c r="W102" s="369"/>
      <c r="X102" s="265" vm="266">
        <f>+[3]Backup!$F$65</f>
        <v>1412.97</v>
      </c>
      <c r="Y102" s="265">
        <f t="shared" ref="Y102:Y106" si="17">ROUND(X102+I105-U102,1)</f>
        <v>0</v>
      </c>
      <c r="AA102" s="369"/>
    </row>
    <row r="103" spans="1:27" ht="18" customHeight="1" x14ac:dyDescent="0.25">
      <c r="A103" s="120">
        <f t="shared" si="15"/>
        <v>7</v>
      </c>
      <c r="C103" s="524" t="s">
        <v>9</v>
      </c>
      <c r="D103" s="418"/>
      <c r="E103" s="418"/>
      <c r="F103" s="492">
        <f>+Cur_Period</f>
        <v>2025</v>
      </c>
      <c r="G103" s="481" t="str">
        <f>+IF($K$2="EN",Text!$B$61,Text!$C$61)</f>
        <v>Adições</v>
      </c>
      <c r="H103" s="564" t="str">
        <f>+IF($K$2="EN",Text!$B$62,Text!$C$62)</f>
        <v>RdA/Descom.</v>
      </c>
      <c r="I103" s="481" t="s">
        <v>8</v>
      </c>
      <c r="J103" s="481" t="str">
        <f>+IF($K$2="EN",Text!$B$63,Text!$C$63)</f>
        <v>E/Const.</v>
      </c>
      <c r="T103" s="138" t="str">
        <f>+IF($K$2="EN",Text!$B$30,Text!$C$30)</f>
        <v>Resto da Europa</v>
      </c>
      <c r="U103" s="183">
        <f>+[3]Backup!$J$66</f>
        <v>2216.5214999999994</v>
      </c>
      <c r="V103" s="183">
        <f t="shared" si="16"/>
        <v>0</v>
      </c>
      <c r="W103" s="120"/>
      <c r="X103" s="265">
        <f>+[3]Backup!$F$66</f>
        <v>2266.7609999999995</v>
      </c>
      <c r="Y103" s="264">
        <f t="shared" si="17"/>
        <v>0</v>
      </c>
    </row>
    <row r="104" spans="1:27" ht="18" customHeight="1" x14ac:dyDescent="0.25">
      <c r="A104" s="120">
        <f t="shared" si="15"/>
        <v>8</v>
      </c>
      <c r="C104" s="421" t="str">
        <f>+IF($K$2="EN",Text!$B$28,Text!$C$28)</f>
        <v>Espanha</v>
      </c>
      <c r="D104" s="419"/>
      <c r="E104" s="419"/>
      <c r="F104" s="297">
        <f>SUMIFS(F$153:F$167,C$153:C$167,$C104)+SUMIFS(F$131:F$141,C$131:C$141,$C104)</f>
        <v>2081.7400000000002</v>
      </c>
      <c r="G104" s="350">
        <f>SUMIFS(G$153:G$167,C$153:C$167,$C104)+SUMIFS(G$131:G$141,C$131:C$141,$C104)</f>
        <v>19.68</v>
      </c>
      <c r="H104" s="350">
        <f>SUMIFS(H$153:H$167,C$153:C$167,$C104)+SUMIFS(H$131:H$141,C$131:C$141,$C104)</f>
        <v>-272.56</v>
      </c>
      <c r="I104" s="351">
        <f>SUM(G104:H104)</f>
        <v>-252.88</v>
      </c>
      <c r="J104" s="372">
        <f>SUMIFS(J$153:J$167,C$153:C$167,$C104)+SUMIFS(J$131:J$141,C$131:C$141,$C104)</f>
        <v>289.39999999999998</v>
      </c>
      <c r="T104" s="167" t="str">
        <f>+IF($K$2="EN",Text!$B$27,Text!$C$27)</f>
        <v>Europa</v>
      </c>
      <c r="U104" s="187" vm="221">
        <f>+[3]Backup!$J$63</f>
        <v>5724.3315000000011</v>
      </c>
      <c r="V104" s="187">
        <f t="shared" si="16"/>
        <v>0</v>
      </c>
      <c r="W104" s="120"/>
      <c r="X104" s="332" vm="172">
        <f>+[3]Backup!$F$63</f>
        <v>6014.3510000000006</v>
      </c>
      <c r="Y104" s="332">
        <f t="shared" si="17"/>
        <v>0</v>
      </c>
    </row>
    <row r="105" spans="1:27" ht="18" customHeight="1" x14ac:dyDescent="0.25">
      <c r="A105" s="120">
        <f t="shared" si="15"/>
        <v>9</v>
      </c>
      <c r="C105" s="421" t="str">
        <f>+IF($K$2="EN",Text!$B$29,Text!$C$29)</f>
        <v>Portugal</v>
      </c>
      <c r="D105" s="419"/>
      <c r="E105" s="419"/>
      <c r="F105" s="297">
        <f>SUMIFS(F$153:F$167,C$153:C$167,$C105)+SUMIFS(F$131:F$141,C$131:C$141,$C105)</f>
        <v>1426.0700000000002</v>
      </c>
      <c r="G105" s="350">
        <f>SUMIFS(G$153:G$167,C$153:C$167,$C105)+SUMIFS(G$131:G$141,C$131:C$141,$C105)</f>
        <v>61</v>
      </c>
      <c r="H105" s="350">
        <f>SUMIFS(H$153:H$167,C$153:C$167,$C105)+SUMIFS(H$131:H$141,C$131:C$141,$C105)</f>
        <v>-47.9</v>
      </c>
      <c r="I105" s="351">
        <f t="shared" ref="I105:I122" si="18">SUM(G105:H105)</f>
        <v>13.100000000000001</v>
      </c>
      <c r="J105" s="372">
        <f>SUMIFS(J$153:J$167,C$153:C$167,$C105)+SUMIFS(J$131:J$141,C$131:C$141,$C105)</f>
        <v>0</v>
      </c>
      <c r="K105" s="369"/>
      <c r="T105" s="138" t="str">
        <f>+IF($K$2="EN",Text!$B$35,Text!$C$35)</f>
        <v>EUA</v>
      </c>
      <c r="U105" s="183" vm="255">
        <f>+[3]Backup!$J$79</f>
        <v>9483.3721000000569</v>
      </c>
      <c r="V105" s="187">
        <f>ROUND(U105,2)-ROUND(F108,2)</f>
        <v>0</v>
      </c>
      <c r="W105" s="120"/>
      <c r="X105" s="265" vm="2">
        <f>+[3]Backup!$F$79</f>
        <v>8421.9060000000482</v>
      </c>
      <c r="Y105" s="264">
        <f t="shared" si="17"/>
        <v>0</v>
      </c>
    </row>
    <row r="106" spans="1:27" ht="18" customHeight="1" x14ac:dyDescent="0.25">
      <c r="A106" s="120">
        <f t="shared" si="15"/>
        <v>10</v>
      </c>
      <c r="C106" s="421" t="str">
        <f>+IF($K$2="EN",Text!$B$30,Text!$C$30)</f>
        <v>Resto da Europa</v>
      </c>
      <c r="D106" s="419"/>
      <c r="E106" s="419"/>
      <c r="F106" s="297">
        <f>SUMIFS(F$153:F$167,C$153:C$167,$C106)+SUMIFS(F$131:F$141,C$131:C$141,$C106)</f>
        <v>2216.5214999999998</v>
      </c>
      <c r="G106" s="350">
        <f>SUMIFS(G$153:G$167,C$153:C$167,$C106)+SUMIFS(G$131:G$141,C$131:C$141,$C106)</f>
        <v>428.62149999999997</v>
      </c>
      <c r="H106" s="370">
        <f>SUMIFS(H$153:H$167,C$153:C$167,$C106)+SUMIFS(H$131:H$141,C$131:C$141,$C106)</f>
        <v>-478.86099999999999</v>
      </c>
      <c r="I106" s="351">
        <f t="shared" si="18"/>
        <v>-50.239500000000021</v>
      </c>
      <c r="J106" s="372">
        <f>SUMIFS(J$153:J$167,C$153:C$167,$C106)+SUMIFS(J$131:J$141,C$131:C$141,$C106)</f>
        <v>263.55</v>
      </c>
      <c r="K106" s="369"/>
      <c r="T106" s="138" t="str">
        <f>+IF($K$2="EN",Text!$B$38,Text!$C$38)</f>
        <v>Canadá e México</v>
      </c>
      <c r="U106" s="265">
        <f>+U107+U108</f>
        <v>625.26</v>
      </c>
      <c r="V106" s="358">
        <f t="shared" si="16"/>
        <v>0</v>
      </c>
      <c r="W106" s="120"/>
      <c r="X106" s="265">
        <f>+X107+X108</f>
        <v>625.26</v>
      </c>
      <c r="Y106" s="265">
        <f t="shared" si="17"/>
        <v>0</v>
      </c>
    </row>
    <row r="107" spans="1:27" ht="18" customHeight="1" x14ac:dyDescent="0.25">
      <c r="A107" s="120">
        <f t="shared" si="15"/>
        <v>11</v>
      </c>
      <c r="C107" s="475" t="str">
        <f>+IF($K$2="EN",Text!$B$27,Text!$C$27)</f>
        <v>Europa</v>
      </c>
      <c r="D107" s="515"/>
      <c r="E107" s="515"/>
      <c r="F107" s="528">
        <f>+SUM(F104:F106)</f>
        <v>5724.3315000000002</v>
      </c>
      <c r="G107" s="529">
        <f>SUM(G104:G106)</f>
        <v>509.30149999999998</v>
      </c>
      <c r="H107" s="529">
        <f>SUM(H104:H106)</f>
        <v>-799.32099999999991</v>
      </c>
      <c r="I107" s="530">
        <f t="shared" si="18"/>
        <v>-290.01949999999994</v>
      </c>
      <c r="J107" s="483">
        <f>+SUM(J104:J106)</f>
        <v>552.95000000000005</v>
      </c>
      <c r="K107" s="369"/>
      <c r="T107" s="293" t="str">
        <f>+IF($K$2="EN",Text!$B$36,Text!$C$36)</f>
        <v>Canadá</v>
      </c>
      <c r="U107" s="294" vm="181">
        <f>+[3]Backup!$J$80</f>
        <v>129.76</v>
      </c>
      <c r="V107" s="359"/>
      <c r="W107" s="120"/>
      <c r="X107" s="333" vm="179">
        <f>+[3]Backup!$F$80</f>
        <v>129.76</v>
      </c>
      <c r="Y107" s="333"/>
    </row>
    <row r="108" spans="1:27" ht="18" customHeight="1" x14ac:dyDescent="0.25">
      <c r="A108" s="120">
        <f t="shared" si="15"/>
        <v>12</v>
      </c>
      <c r="C108" s="421" t="str">
        <f>+IF($K$2="EN",Text!$B$35,Text!$C$35)</f>
        <v>EUA</v>
      </c>
      <c r="D108" s="419"/>
      <c r="E108" s="419"/>
      <c r="F108" s="297">
        <f>SUMIFS(F$153:F$167,C$153:C$167,$C108)+SUMIFS(F$131:F$141,C$131:C$141,$C108)</f>
        <v>9483.3721000000151</v>
      </c>
      <c r="G108" s="370">
        <f>SUMIFS(G$153:G$167,C$153:C$167,$C108)+SUMIFS(G$131:G$141,C$131:C$141,$C108)</f>
        <v>1094.6120999999998</v>
      </c>
      <c r="H108" s="350">
        <f>SUMIFS(H$153:H$167,C$153:C$167,$C108)+SUMIFS(H$131:H$141,C$131:C$141,$C108)</f>
        <v>-33.146000000000001</v>
      </c>
      <c r="I108" s="351">
        <f>SUM(G108:H108)</f>
        <v>1061.4660999999999</v>
      </c>
      <c r="J108" s="372">
        <f>SUMIFS(J$153:J$167,C$153:C$167,$C108)+SUMIFS(J$131:J$141,C$131:C$141,$C108)</f>
        <v>626.71500000000015</v>
      </c>
      <c r="K108" s="369"/>
      <c r="O108" s="124"/>
      <c r="T108" s="293" t="str">
        <f>+IF($K$2="EN",Text!$B$37,Text!$C$37)</f>
        <v>México</v>
      </c>
      <c r="U108" s="294" vm="217">
        <f>+[3]Backup!$J$81</f>
        <v>495.5</v>
      </c>
      <c r="V108" s="359"/>
      <c r="W108" s="120"/>
      <c r="X108" s="333" vm="168">
        <f>+[3]Backup!$F$81</f>
        <v>495.5</v>
      </c>
      <c r="Y108" s="333"/>
    </row>
    <row r="109" spans="1:27" ht="18" customHeight="1" x14ac:dyDescent="0.25">
      <c r="A109" s="120">
        <f t="shared" si="15"/>
        <v>13</v>
      </c>
      <c r="C109" s="421" t="str">
        <f>+IF($K$2="EN",Text!$B$38,Text!$C$38)</f>
        <v>Canadá e México</v>
      </c>
      <c r="D109" s="419"/>
      <c r="E109" s="419"/>
      <c r="F109" s="297">
        <f>SUMIFS(F$153:F$167,C$153:C$167,$C109)+SUMIFS(F$131:F$141,C$131:C$141,$C109)</f>
        <v>625.26</v>
      </c>
      <c r="G109" s="350">
        <f>SUMIFS(G$153:G$167,C$153:C$167,$C109)+SUMIFS(G$131:G$141,C$131:C$141,$C109)</f>
        <v>0</v>
      </c>
      <c r="H109" s="350">
        <f>SUMIFS(H$153:H$167,C$153:C$167,$C109)+SUMIFS(H$131:H$141,C$131:C$141,$C109)</f>
        <v>0</v>
      </c>
      <c r="I109" s="351">
        <f t="shared" si="18"/>
        <v>0</v>
      </c>
      <c r="J109" s="372">
        <f>SUMIFS(J$153:J$167,C$153:C$167,$C109)+SUMIFS(J$131:J$141,C$131:C$141,$C109)</f>
        <v>0</v>
      </c>
      <c r="K109" s="369"/>
      <c r="N109" s="571" t="str">
        <f>N37</f>
        <v>20 GW</v>
      </c>
      <c r="O109" s="571"/>
      <c r="P109" s="124"/>
      <c r="T109" s="167" t="str">
        <f>+IF($K$2="EN",Text!$B$34,Text!$C$34)</f>
        <v>América do Norte</v>
      </c>
      <c r="U109" s="187" vm="267">
        <f>+[3]Backup!$J$78</f>
        <v>10108.632100000026</v>
      </c>
      <c r="V109" s="187">
        <f t="shared" ref="V109:V121" si="19">U109-F110</f>
        <v>0</v>
      </c>
      <c r="W109" s="120"/>
      <c r="X109" s="332" vm="258">
        <f>+[3]Backup!$F$78</f>
        <v>9047.1660000000284</v>
      </c>
      <c r="Y109" s="338">
        <f t="shared" ref="Y109:Y121" si="20">ROUND(X109+I110-U109,1)</f>
        <v>0</v>
      </c>
    </row>
    <row r="110" spans="1:27" ht="18" customHeight="1" x14ac:dyDescent="0.25">
      <c r="A110" s="120">
        <f t="shared" si="15"/>
        <v>14</v>
      </c>
      <c r="C110" s="475" t="str">
        <f>+IF($K$2="EN",Text!$B$34,Text!$C$34)</f>
        <v>América do Norte</v>
      </c>
      <c r="D110" s="515"/>
      <c r="E110" s="515"/>
      <c r="F110" s="528">
        <f>+SUM(F108:F109)</f>
        <v>10108.632100000015</v>
      </c>
      <c r="G110" s="529">
        <f>SUM(G108:G109)</f>
        <v>1094.6120999999998</v>
      </c>
      <c r="H110" s="529">
        <f>SUM(H108:H109)</f>
        <v>-33.146000000000001</v>
      </c>
      <c r="I110" s="530">
        <f t="shared" si="18"/>
        <v>1061.4660999999999</v>
      </c>
      <c r="J110" s="483">
        <f>+SUM(J108:J109)</f>
        <v>626.71500000000015</v>
      </c>
      <c r="K110" s="369"/>
      <c r="N110" s="571"/>
      <c r="O110" s="571"/>
      <c r="S110" s="188"/>
      <c r="T110" s="138" t="str">
        <f>+IF($K$2="EN",Text!$B$42,Text!$C$42)</f>
        <v>Brasil e Chile</v>
      </c>
      <c r="U110" s="183" vm="205">
        <f>+[3]Backup!$J$84</f>
        <v>1743.2102000000004</v>
      </c>
      <c r="V110" s="357">
        <f t="shared" si="19"/>
        <v>0</v>
      </c>
      <c r="W110" s="120"/>
      <c r="X110" s="265" vm="216">
        <f>+[3]Backup!$F$84</f>
        <v>1619.3102000000008</v>
      </c>
      <c r="Y110" s="265">
        <f t="shared" si="20"/>
        <v>0</v>
      </c>
    </row>
    <row r="111" spans="1:27" ht="18" customHeight="1" x14ac:dyDescent="0.25">
      <c r="A111" s="120">
        <f t="shared" si="15"/>
        <v>15</v>
      </c>
      <c r="C111" s="421" t="str">
        <f>+IF($K$2="EN",Text!$B$41,Text!$C$41)</f>
        <v>Brasil</v>
      </c>
      <c r="D111" s="419"/>
      <c r="E111" s="419"/>
      <c r="F111" s="297">
        <f>SUMIFS(F$153:F$167,C$153:C$167,$C111)+SUMIFS(F$131:F$141,C$131:C$141,$C111)</f>
        <v>1743.2102000000002</v>
      </c>
      <c r="G111" s="350">
        <f>SUMIFS(G$153:G$167,C$153:C$167,$C111)+SUMIFS(G$131:G$141,C$131:C$141,$C111)</f>
        <v>123.9</v>
      </c>
      <c r="H111" s="350">
        <f>SUMIFS(H$153:H$167,C$153:C$167,$C111)+SUMIFS(H$131:H$141,C$131:C$141,$C111)</f>
        <v>0</v>
      </c>
      <c r="I111" s="351">
        <f t="shared" si="18"/>
        <v>123.9</v>
      </c>
      <c r="J111" s="444">
        <f>SUMIFS(J$153:J$167,C$153:C$167,$C111)+SUMIFS(J$131:J$141,C$131:C$141,$C111)</f>
        <v>0</v>
      </c>
      <c r="K111" s="369"/>
      <c r="N111" s="571"/>
      <c r="O111" s="571"/>
      <c r="S111" s="189"/>
      <c r="T111" s="138" t="s">
        <v>51</v>
      </c>
      <c r="U111" s="183">
        <f>+[3]Backup!$J$85+[3]Backup!$J$86</f>
        <v>82.6</v>
      </c>
      <c r="V111" s="357">
        <f t="shared" si="19"/>
        <v>0</v>
      </c>
      <c r="W111" s="120"/>
      <c r="X111" s="265">
        <f>+[3]Backup!$F$85+[3]Backup!$F$86</f>
        <v>82.6</v>
      </c>
      <c r="Y111" s="265">
        <f t="shared" si="20"/>
        <v>0</v>
      </c>
    </row>
    <row r="112" spans="1:27" ht="18" customHeight="1" x14ac:dyDescent="0.25">
      <c r="A112" s="120">
        <f t="shared" si="15"/>
        <v>16</v>
      </c>
      <c r="C112" s="421" t="str">
        <f>+IF($K$2="EN",Text!$B$44,Text!$C$44)</f>
        <v>Chile</v>
      </c>
      <c r="D112" s="419"/>
      <c r="E112" s="419"/>
      <c r="F112" s="297">
        <f>SUMIFS(F$153:F$167,C$153:C$167,$C112)+SUMIFS(F$131:F$141,C$131:C$141,$C112)</f>
        <v>82.6</v>
      </c>
      <c r="G112" s="350">
        <f>SUMIFS(G$153:G$167,C$153:C$167,$C112)+SUMIFS(G$131:G$141,C$131:C$141,$C112)</f>
        <v>0</v>
      </c>
      <c r="H112" s="350">
        <f>SUMIFS(H$153:H$167,C$153:C$167,$C112)+SUMIFS(H$131:H$141,C$131:C$141,$C112)</f>
        <v>0</v>
      </c>
      <c r="I112" s="351">
        <f t="shared" si="18"/>
        <v>0</v>
      </c>
      <c r="J112" s="372">
        <f>SUMIFS(J$153:J$167,C$153:C$167,$C112)+SUMIFS(J$131:J$141,C$131:C$141,$C112)</f>
        <v>60</v>
      </c>
      <c r="K112" s="369"/>
      <c r="T112" s="167" t="str">
        <f>+IF($K$2="EN",Text!$B$40,Text!$C$40)</f>
        <v>América do Sul</v>
      </c>
      <c r="U112" s="187" vm="163">
        <f>+[3]Backup!$J$83</f>
        <v>1825.8102000000006</v>
      </c>
      <c r="V112" s="360">
        <f t="shared" si="19"/>
        <v>0</v>
      </c>
      <c r="W112" s="120"/>
      <c r="X112" s="332" vm="198">
        <f>+[3]Backup!$F$83</f>
        <v>1701.9102000000007</v>
      </c>
      <c r="Y112" s="332">
        <f t="shared" si="20"/>
        <v>0</v>
      </c>
    </row>
    <row r="113" spans="1:25" ht="18" customHeight="1" x14ac:dyDescent="0.25">
      <c r="A113" s="120">
        <f t="shared" si="15"/>
        <v>17</v>
      </c>
      <c r="C113" s="475" t="str">
        <f>+IF($K$2="EN",Text!$B$40,Text!$C$40)</f>
        <v>América do Sul</v>
      </c>
      <c r="D113" s="515"/>
      <c r="E113" s="515"/>
      <c r="F113" s="528">
        <f>+SUM(F111:F112)</f>
        <v>1825.8102000000001</v>
      </c>
      <c r="G113" s="529">
        <f>SUM(G111:G112)</f>
        <v>123.9</v>
      </c>
      <c r="H113" s="529">
        <f>SUM(H111:H112)</f>
        <v>0</v>
      </c>
      <c r="I113" s="530">
        <f t="shared" si="18"/>
        <v>123.9</v>
      </c>
      <c r="J113" s="483">
        <f>+SUM(J111:J112)</f>
        <v>60</v>
      </c>
      <c r="K113" s="369"/>
      <c r="T113" s="138" t="str">
        <f>+IF($K$2="EN",Text!$B$47,Text!$C$47)</f>
        <v>Vietname</v>
      </c>
      <c r="U113" s="183" vm="123">
        <f>+[3]Backup!$J$89</f>
        <v>402.47019999999998</v>
      </c>
      <c r="V113" s="357">
        <f t="shared" si="19"/>
        <v>0</v>
      </c>
      <c r="W113" s="120"/>
      <c r="X113" s="265" vm="244">
        <f>+[3]Backup!$F$89</f>
        <v>402.47019999999998</v>
      </c>
      <c r="Y113" s="264">
        <f t="shared" si="20"/>
        <v>0</v>
      </c>
    </row>
    <row r="114" spans="1:25" ht="18" customHeight="1" x14ac:dyDescent="0.25">
      <c r="A114" s="120">
        <f t="shared" si="15"/>
        <v>18</v>
      </c>
      <c r="C114" s="421" t="str">
        <f>+IF($K$2="EN",Text!$B$47,Text!$C$47)</f>
        <v>Vietname</v>
      </c>
      <c r="D114" s="419"/>
      <c r="E114" s="419"/>
      <c r="F114" s="297">
        <f>SUMIFS(F$153:F$167,C$153:C$167,$C114)+SUMIFS(F$131:F$141,C$131:C$141,$C114)</f>
        <v>402.47019999999998</v>
      </c>
      <c r="G114" s="350">
        <f>SUMIFS(G$153:G$167,C$153:C$167,$C114)+SUMIFS(G$131:G$141,C$131:C$141,$C114)</f>
        <v>0</v>
      </c>
      <c r="H114" s="350">
        <f>SUMIFS(H$153:H$167,C$153:C$167,$C114)+SUMIFS(H$131:H$141,C$131:C$141,$C114)</f>
        <v>0</v>
      </c>
      <c r="I114" s="351">
        <f t="shared" si="18"/>
        <v>0</v>
      </c>
      <c r="J114" s="372">
        <f>SUMIFS(J$153:J$167,C$153:C$167,$C114)+SUMIFS(J$131:J$141,C$131:C$141,$C114)</f>
        <v>0</v>
      </c>
      <c r="K114" s="369"/>
      <c r="T114" s="138" t="str">
        <f>+IF($K$2="EN",Text!$B$48,Text!$C$48)</f>
        <v>Singapura</v>
      </c>
      <c r="U114" s="183" vm="201">
        <f>+[3]Backup!$J$90</f>
        <v>440.48570000000029</v>
      </c>
      <c r="V114" s="357">
        <f t="shared" si="19"/>
        <v>0</v>
      </c>
      <c r="W114" s="120"/>
      <c r="X114" s="265" vm="176">
        <f>+[3]Backup!$F$90</f>
        <v>362.66540000000003</v>
      </c>
      <c r="Y114" s="264">
        <f>ROUND(X114+I115-U114,1)</f>
        <v>0</v>
      </c>
    </row>
    <row r="115" spans="1:25" ht="18" customHeight="1" x14ac:dyDescent="0.25">
      <c r="A115" s="120">
        <f t="shared" si="15"/>
        <v>19</v>
      </c>
      <c r="C115" s="421" t="str">
        <f>+IF($K$2="EN",Text!$B$48,Text!$C$48)</f>
        <v>Singapura</v>
      </c>
      <c r="D115" s="419"/>
      <c r="E115" s="419"/>
      <c r="F115" s="297">
        <f>SUMIFS(F$153:F$167,C$153:C$167,$C115)+SUMIFS(F$131:F$141,C$131:C$141,$C115)</f>
        <v>440.48570000000029</v>
      </c>
      <c r="G115" s="350">
        <f>SUMIFS(G$153:G$167,C$153:C$167,$C115)+SUMIFS(G$131:G$141,C$131:C$141,$C115)</f>
        <v>86.442000000000007</v>
      </c>
      <c r="H115" s="350">
        <f>SUMIFS(H$153:H$167,C$153:C$167,$C115)+SUMIFS(H$131:H$141,C$131:C$141,$C115)</f>
        <v>-8.6216999999999988</v>
      </c>
      <c r="I115" s="351">
        <f t="shared" si="18"/>
        <v>77.820300000000003</v>
      </c>
      <c r="J115" s="372">
        <f>SUMIFS(J$153:J$167,C$153:C$167,$C115)+SUMIFS(J$131:J$141,C$131:C$141,$C115)</f>
        <v>12.923500000000001</v>
      </c>
      <c r="K115" s="369"/>
      <c r="T115" s="138" t="str">
        <f>+IF($K$2="EN",Text!$B$49,Text!$C$49)</f>
        <v>Resto de APAC</v>
      </c>
      <c r="U115" s="183">
        <f>+[3]Backup!$J$91</f>
        <v>302.86650000000003</v>
      </c>
      <c r="V115" s="357">
        <f t="shared" si="19"/>
        <v>0</v>
      </c>
      <c r="W115" s="120"/>
      <c r="X115" s="265">
        <f>+[3]Backup!$F$91</f>
        <v>256.66140000000007</v>
      </c>
      <c r="Y115" s="265">
        <f t="shared" si="20"/>
        <v>0</v>
      </c>
    </row>
    <row r="116" spans="1:25" ht="18" customHeight="1" x14ac:dyDescent="0.25">
      <c r="A116" s="120">
        <f t="shared" si="15"/>
        <v>20</v>
      </c>
      <c r="C116" s="421" t="str">
        <f>+IF($K$2="EN",Text!$B$49,Text!$C$49)</f>
        <v>Resto de APAC</v>
      </c>
      <c r="D116" s="419"/>
      <c r="E116" s="419"/>
      <c r="F116" s="297">
        <f>SUMIFS(F$153:F$167,C$153:C$167,$C116)+SUMIFS(F$131:F$141,C$131:C$141,$C116)</f>
        <v>302.86650000000003</v>
      </c>
      <c r="G116" s="350">
        <f>SUMIFS(G$153:G$167,C$153:C$167,$C116)+SUMIFS(G$131:G$141,C$131:C$141,$C116)</f>
        <v>53.137100000000004</v>
      </c>
      <c r="H116" s="350">
        <f>SUMIFS(H$153:H$167,C$153:C$167,$C116)+SUMIFS(H$131:H$141,C$131:C$141,$C116)</f>
        <v>-6.9320000000000004</v>
      </c>
      <c r="I116" s="351">
        <f t="shared" si="18"/>
        <v>46.205100000000002</v>
      </c>
      <c r="J116" s="372">
        <f>SUMIFS(J$153:J$167,C$153:C$167,$C116)+SUMIFS(J$131:J$141,C$131:C$141,$C116)</f>
        <v>21.142699999999998</v>
      </c>
      <c r="K116" s="369"/>
      <c r="T116" s="167" t="str">
        <f>+IF($K$2="EN",Text!$B$46,Text!$C$46)</f>
        <v>APAC</v>
      </c>
      <c r="U116" s="187" vm="194">
        <f>+[3]Backup!$J$88</f>
        <v>1145.8224</v>
      </c>
      <c r="V116" s="360">
        <f t="shared" si="19"/>
        <v>0</v>
      </c>
      <c r="W116" s="120"/>
      <c r="X116" s="332" vm="13">
        <f>+[3]Backup!$F$88</f>
        <v>1021.7970000000003</v>
      </c>
      <c r="Y116" s="338">
        <f t="shared" si="20"/>
        <v>0</v>
      </c>
    </row>
    <row r="117" spans="1:25" ht="18" customHeight="1" x14ac:dyDescent="0.25">
      <c r="A117" s="120">
        <f t="shared" si="15"/>
        <v>21</v>
      </c>
      <c r="C117" s="478" t="str">
        <f>+IF($K$2="EN",Text!$B$46,Text!$C$46)</f>
        <v>APAC</v>
      </c>
      <c r="D117" s="524"/>
      <c r="E117" s="524"/>
      <c r="F117" s="531">
        <f>+SUM(F114:F116)</f>
        <v>1145.8224000000002</v>
      </c>
      <c r="G117" s="532">
        <f>+SUM(G114:G116)</f>
        <v>139.57910000000001</v>
      </c>
      <c r="H117" s="529">
        <f>+SUM(H114:H116)</f>
        <v>-15.553699999999999</v>
      </c>
      <c r="I117" s="533">
        <f t="shared" si="18"/>
        <v>124.02540000000002</v>
      </c>
      <c r="J117" s="534">
        <f>+SUM(J114:J116)</f>
        <v>34.066199999999995</v>
      </c>
      <c r="K117" s="369"/>
      <c r="T117" s="196" t="str">
        <f>+IF($K$2="EN",Text!$B$55,Text!$C$55)</f>
        <v>EBITDA MW</v>
      </c>
      <c r="U117" s="197" vm="120">
        <f>+[3]Backup!$J$61</f>
        <v>18804.596199999942</v>
      </c>
      <c r="V117" s="197">
        <f t="shared" si="19"/>
        <v>-7.6397554948925972E-11</v>
      </c>
      <c r="W117" s="120"/>
      <c r="X117" s="197" vm="226">
        <f>+[3]Backup!$F$61</f>
        <v>17785.224199999942</v>
      </c>
      <c r="Y117" s="197">
        <f t="shared" si="20"/>
        <v>0</v>
      </c>
    </row>
    <row r="118" spans="1:25" ht="18" customHeight="1" x14ac:dyDescent="0.25">
      <c r="A118" s="120">
        <f t="shared" si="15"/>
        <v>22</v>
      </c>
      <c r="C118" s="535" t="str">
        <f>+IF($K$2="EN",Text!$B$55,Text!$C$55)</f>
        <v>EBITDA MW</v>
      </c>
      <c r="D118" s="535"/>
      <c r="E118" s="535"/>
      <c r="F118" s="536">
        <f>+F107+F110+F113+F117</f>
        <v>18804.596200000018</v>
      </c>
      <c r="G118" s="537">
        <f>+G107+G110+G113+G117</f>
        <v>1867.3926999999999</v>
      </c>
      <c r="H118" s="537">
        <f>+H107+H110+H113+H117</f>
        <v>-848.02069999999992</v>
      </c>
      <c r="I118" s="538">
        <f t="shared" si="18"/>
        <v>1019.372</v>
      </c>
      <c r="J118" s="488">
        <f>+J107+J110+J113+J117</f>
        <v>1273.7312000000002</v>
      </c>
      <c r="K118" s="125"/>
      <c r="T118" s="138" t="str">
        <f>+IF($K$2="EN",Text!$B$28,Text!$C$28)</f>
        <v>Espanha</v>
      </c>
      <c r="U118" s="183" vm="171">
        <f>+[3]Backup!$J$114</f>
        <v>120.13</v>
      </c>
      <c r="V118" s="357">
        <f t="shared" si="19"/>
        <v>0</v>
      </c>
      <c r="W118" s="120"/>
      <c r="X118" s="265" vm="173">
        <f>+[3]Backup!$F$114</f>
        <v>120.13</v>
      </c>
      <c r="Y118" s="265">
        <f t="shared" si="20"/>
        <v>0</v>
      </c>
    </row>
    <row r="119" spans="1:25" ht="18" customHeight="1" x14ac:dyDescent="0.25">
      <c r="A119" s="120">
        <f t="shared" si="15"/>
        <v>23</v>
      </c>
      <c r="C119" s="421" t="str">
        <f>+IF($K$2="EN",Text!$B$28,Text!$C$28)</f>
        <v>Espanha</v>
      </c>
      <c r="D119" s="419"/>
      <c r="E119" s="419"/>
      <c r="F119" s="297">
        <f>SUMIFS(F$168:F$171,C$168:C$171,$C119)+SUMIFS(F$142:F$147,C$142:C$147,$C119)+SUMIFS($F$177:$F$182,$C$177:$C$182,$C119)</f>
        <v>120.13</v>
      </c>
      <c r="G119" s="350">
        <f>G142</f>
        <v>0</v>
      </c>
      <c r="H119" s="350">
        <f>H142</f>
        <v>0</v>
      </c>
      <c r="I119" s="351">
        <f t="shared" si="18"/>
        <v>0</v>
      </c>
      <c r="J119" s="298">
        <f>SUMIFS(J$168:J$171,C$168:C$171,$C119)+SUMIFS(J$142:J$147,C$142:C$147,$C119)+SUMIFS($J$177:$J$182,$C$177:$C$182,$C119)</f>
        <v>0</v>
      </c>
      <c r="K119" s="369"/>
      <c r="T119" s="138" t="str">
        <f>+IF($K$2="EN",Text!$B$29,Text!$C$29)</f>
        <v>Portugal</v>
      </c>
      <c r="U119" s="183" vm="215">
        <f>+[3]Backup!$J$115</f>
        <v>28.011399999999995</v>
      </c>
      <c r="V119" s="357">
        <f t="shared" si="19"/>
        <v>0</v>
      </c>
      <c r="W119" s="120"/>
      <c r="X119" s="265" vm="159">
        <f>+[3]Backup!$F$115</f>
        <v>28.011399999999995</v>
      </c>
      <c r="Y119" s="265">
        <f t="shared" si="20"/>
        <v>0</v>
      </c>
    </row>
    <row r="120" spans="1:25" ht="18" customHeight="1" x14ac:dyDescent="0.25">
      <c r="A120" s="120">
        <f t="shared" si="15"/>
        <v>24</v>
      </c>
      <c r="C120" s="421" t="str">
        <f>+IF($K$2="EN",Text!$B$29,Text!$C$29)</f>
        <v>Portugal</v>
      </c>
      <c r="D120" s="419"/>
      <c r="E120" s="419"/>
      <c r="F120" s="297">
        <f>SUMIFS(F$168:F$171,C$168:C$171,$C120)+SUMIFS(F$142:F$147,C$142:C$147,$C120)+SUMIFS($F$177:$F$182,$C$177:$C$182,$C120)</f>
        <v>28.011399999999995</v>
      </c>
      <c r="G120" s="350">
        <f>G143+G177</f>
        <v>0</v>
      </c>
      <c r="H120" s="350">
        <f>H143+H177</f>
        <v>0</v>
      </c>
      <c r="I120" s="351">
        <f t="shared" si="18"/>
        <v>0</v>
      </c>
      <c r="J120" s="298">
        <f>SUMIFS(J$168:J$171,C$168:C$171,$C120)+SUMIFS(J$142:J$147,C$142:C$147,$C120)+SUMIFS($J$177:$J$182,$C$177:$C$182,$C120)</f>
        <v>0</v>
      </c>
      <c r="K120" s="369"/>
      <c r="T120" s="138" t="str">
        <f>+IF($K$2="EN",Text!$B$30,Text!$C$30)</f>
        <v>Resto da Europa</v>
      </c>
      <c r="U120" s="183">
        <f>[3]Backup!$J$116</f>
        <v>731.5625</v>
      </c>
      <c r="V120" s="357">
        <f t="shared" si="19"/>
        <v>0</v>
      </c>
      <c r="W120" s="120"/>
      <c r="X120" s="265">
        <f>[3]Backup!$F$116</f>
        <v>651.5625</v>
      </c>
      <c r="Y120" s="265">
        <f t="shared" si="20"/>
        <v>0</v>
      </c>
    </row>
    <row r="121" spans="1:25" ht="18" customHeight="1" x14ac:dyDescent="0.25">
      <c r="A121" s="120">
        <f t="shared" si="15"/>
        <v>25</v>
      </c>
      <c r="C121" s="421" t="str">
        <f>+IF($K$2="EN",Text!$B$30,Text!$C$30)</f>
        <v>Resto da Europa</v>
      </c>
      <c r="D121" s="419"/>
      <c r="E121" s="419"/>
      <c r="F121" s="297">
        <f>SUMIFS(F$168:F$171,C$168:C$171,$C121)+SUMIFS(F$142:F$147,C$142:C$147,$C121)+SUMIFS($F$177:$F$182,$C$177:$C$182,$C121)+SUM(F178:F179)</f>
        <v>731.5625</v>
      </c>
      <c r="G121" s="350">
        <f>G178+G179</f>
        <v>120.5</v>
      </c>
      <c r="H121" s="350">
        <f>H178+H179</f>
        <v>-40.5</v>
      </c>
      <c r="I121" s="351">
        <f t="shared" si="18"/>
        <v>80</v>
      </c>
      <c r="J121" s="298">
        <f>SUMIFS(J$168:J$171,C$168:C$171,$C121)+SUMIFS(J$142:J$147,C$142:C$147,$C121)+(J181-J177)</f>
        <v>374.64</v>
      </c>
      <c r="K121" s="369"/>
      <c r="L121" s="524" t="str">
        <f>+IF(PT!$K$2="EN",Text!$B$20,Text!$C$20)</f>
        <v>Tecnologia</v>
      </c>
      <c r="M121" s="524"/>
      <c r="N121" s="524"/>
      <c r="O121" s="526"/>
      <c r="P121" s="527" t="s">
        <v>52</v>
      </c>
      <c r="Q121" s="493" t="s">
        <v>13</v>
      </c>
      <c r="T121" s="167" t="str">
        <f>+IF($K$2="EN",Text!$B$27,Text!$C$27)</f>
        <v>Europa</v>
      </c>
      <c r="U121" s="187">
        <f>+[3]Backup!$J$113</f>
        <v>879.70389999999998</v>
      </c>
      <c r="V121" s="360">
        <f t="shared" si="19"/>
        <v>0</v>
      </c>
      <c r="W121" s="120"/>
      <c r="X121" s="332">
        <f>+[3]Backup!$F$113</f>
        <v>799.70389999999998</v>
      </c>
      <c r="Y121" s="332">
        <f t="shared" si="20"/>
        <v>0</v>
      </c>
    </row>
    <row r="122" spans="1:25" ht="18" customHeight="1" x14ac:dyDescent="0.25">
      <c r="A122" s="120">
        <f t="shared" si="15"/>
        <v>26</v>
      </c>
      <c r="C122" s="475" t="str">
        <f>+IF($K$2="EN",Text!$B$27,Text!$C$27)</f>
        <v>Europa</v>
      </c>
      <c r="D122" s="515"/>
      <c r="E122" s="515"/>
      <c r="F122" s="528">
        <f>+SUM(F119:F121)</f>
        <v>879.70389999999998</v>
      </c>
      <c r="G122" s="529">
        <f>SUM(G119:G121)</f>
        <v>120.5</v>
      </c>
      <c r="H122" s="529">
        <f>SUM(H119:H121)</f>
        <v>-40.5</v>
      </c>
      <c r="I122" s="530">
        <f t="shared" si="18"/>
        <v>80</v>
      </c>
      <c r="J122" s="539">
        <f>SUM(J119:J121)</f>
        <v>374.64</v>
      </c>
      <c r="K122" s="369"/>
      <c r="L122" s="419" t="str">
        <f>+IF(PT!$K$2="EN",Text!$B$21,Text!$C$21)</f>
        <v>Eólico Onshore</v>
      </c>
      <c r="M122" s="419"/>
      <c r="N122" s="419"/>
      <c r="O122" s="419"/>
      <c r="P122" s="446" vm="330">
        <f>Charts!C53</f>
        <v>13134.372000000001</v>
      </c>
      <c r="Q122" s="447">
        <f>+Charts!E53</f>
        <v>0.02</v>
      </c>
      <c r="T122" s="167" t="str">
        <f>+IF($K$2="EN",Text!$B$34,Text!$C$34)</f>
        <v>América do Norte</v>
      </c>
      <c r="U122" s="187" vm="202">
        <f>+[3]Backup!$J$128</f>
        <v>700.74</v>
      </c>
      <c r="V122" s="360">
        <f>U122-F123</f>
        <v>0</v>
      </c>
      <c r="W122" s="120"/>
      <c r="X122" s="332" vm="19">
        <f>+[3]Backup!$F$128</f>
        <v>719.30250000000012</v>
      </c>
      <c r="Y122" s="332">
        <f>ROUND(X122+I123-U122,1)</f>
        <v>0</v>
      </c>
    </row>
    <row r="123" spans="1:25" ht="18" customHeight="1" x14ac:dyDescent="0.25">
      <c r="A123" s="120">
        <f t="shared" si="15"/>
        <v>27</v>
      </c>
      <c r="C123" s="475" t="str">
        <f>+IF($K$2="EN",Text!$B$34,Text!$C$34)</f>
        <v>América do Norte</v>
      </c>
      <c r="D123" s="515"/>
      <c r="E123" s="515"/>
      <c r="F123" s="528">
        <f>SUMIFS(F$168:F$171,C$168:C$171,$C123)+SUMIFS(F$142:F$147,C$142:C$147,$C123)+SUMIFS($F$177:$F$182,$C$177:$C$182,$C123)</f>
        <v>700.74</v>
      </c>
      <c r="G123" s="529">
        <f>G145+G168</f>
        <v>-18.5625</v>
      </c>
      <c r="H123" s="529">
        <f>H145+H168</f>
        <v>0</v>
      </c>
      <c r="I123" s="530">
        <f>SUM(G123:H123)</f>
        <v>-18.5625</v>
      </c>
      <c r="J123" s="539">
        <f>SUMIFS(J$168:J$171,C$168:C$171,$C123)+SUMIFS(J$142:J$147,C$142:C$147,$C123)+SUMIFS($J$177:$J$182,$C$177:$C$182,$C123)</f>
        <v>0</v>
      </c>
      <c r="K123" s="369"/>
      <c r="L123" s="419" t="str">
        <f>+IF(PT!$K$2="EN",Text!$B$24,Text!$C$24)</f>
        <v>Solar Centralizado</v>
      </c>
      <c r="M123" s="419"/>
      <c r="N123" s="419"/>
      <c r="O123" s="419"/>
      <c r="P123" s="446" vm="78">
        <f>Charts!C54</f>
        <v>4943.4261999999962</v>
      </c>
      <c r="Q123" s="447">
        <f>+Charts!E54</f>
        <v>0.06</v>
      </c>
      <c r="T123" s="167" t="str">
        <f>+IF($K$2="EN",Text!$B$46,Text!$C$46)</f>
        <v>APAC</v>
      </c>
      <c r="U123" s="187" vm="268">
        <f>+[3]Backup!$J$138</f>
        <v>5.9178999999999995</v>
      </c>
      <c r="V123" s="360">
        <f>U123-F124</f>
        <v>0</v>
      </c>
      <c r="W123" s="120"/>
      <c r="X123" s="332" vm="13">
        <f>+[3]Backup!$F$138</f>
        <v>11.161799999999999</v>
      </c>
      <c r="Y123" s="332">
        <f>ROUND(X123+I124-U123,1)</f>
        <v>0</v>
      </c>
    </row>
    <row r="124" spans="1:25" ht="18" customHeight="1" x14ac:dyDescent="0.25">
      <c r="A124" s="120">
        <f t="shared" si="15"/>
        <v>28</v>
      </c>
      <c r="C124" s="478" t="str">
        <f>+IF($K$2="EN",Text!$B$46,Text!$C$46)</f>
        <v>APAC</v>
      </c>
      <c r="D124" s="524"/>
      <c r="E124" s="524"/>
      <c r="F124" s="531">
        <f>SUMIFS(F$168:F$171,C$168:C$171,$C124)+SUMIFS(F$142:F$147,C$142:C$147,$C124)+SUMIFS($F$177:$F$182,$C$177:$C$182,$C124)</f>
        <v>5.9178999999999995</v>
      </c>
      <c r="G124" s="532">
        <f>+G170</f>
        <v>0</v>
      </c>
      <c r="H124" s="529">
        <f>+H170</f>
        <v>-5.2436999999999996</v>
      </c>
      <c r="I124" s="533">
        <f>SUM(G124:H124)</f>
        <v>-5.2436999999999996</v>
      </c>
      <c r="J124" s="540">
        <f>SUMIFS(J$168:J$171,C$168:C$171,$C124)+SUMIFS(J$142:J$147,C$142:C$147,$C124)+SUMIFS($J$177:$J$182,$C$177:$C$182,$C124)</f>
        <v>0</v>
      </c>
      <c r="K124" s="369"/>
      <c r="L124" s="419" t="str">
        <f>+IF(PT!$K$2="EN",Text!$B$25,Text!$C$25)</f>
        <v>Solar DG</v>
      </c>
      <c r="M124" s="419"/>
      <c r="N124" s="419"/>
      <c r="O124" s="419"/>
      <c r="P124" s="446" vm="325">
        <f>+Charts!C56</f>
        <v>1023.3308000000003</v>
      </c>
      <c r="Q124" s="447">
        <f>+Charts!E56</f>
        <v>0.14000000000000001</v>
      </c>
      <c r="T124" s="196" t="str">
        <f>+IF($K$2="EN",Text!$B$56,Text!$C$56)</f>
        <v>Equiv. Patrimonial</v>
      </c>
      <c r="U124" s="197" vm="167">
        <f>+[3]Backup!$J$111</f>
        <v>1586.3617999999999</v>
      </c>
      <c r="V124" s="197">
        <f>U124-F125</f>
        <v>0</v>
      </c>
      <c r="W124" s="120"/>
      <c r="X124" s="197" vm="170">
        <f>+[3]Backup!$F$111</f>
        <v>1530.1682000000001</v>
      </c>
      <c r="Y124" s="197">
        <f>ROUND(X124+I125-U124,1)</f>
        <v>0</v>
      </c>
    </row>
    <row r="125" spans="1:25" ht="18" customHeight="1" x14ac:dyDescent="0.25">
      <c r="A125" s="120">
        <f t="shared" si="15"/>
        <v>29</v>
      </c>
      <c r="C125" s="535" t="str">
        <f>+IF($K$2="EN",Text!$B$56,Text!$C$56)</f>
        <v>Equiv. Patrimonial</v>
      </c>
      <c r="D125" s="535"/>
      <c r="E125" s="535"/>
      <c r="F125" s="536">
        <f>+F122+F123+F124</f>
        <v>1586.3617999999999</v>
      </c>
      <c r="G125" s="537">
        <f>+G122+G123+G124</f>
        <v>101.9375</v>
      </c>
      <c r="H125" s="537">
        <f>+H122+H123+H124</f>
        <v>-45.743699999999997</v>
      </c>
      <c r="I125" s="538">
        <f>SUM(G125:H125)</f>
        <v>56.193800000000003</v>
      </c>
      <c r="J125" s="541">
        <f>J122+J123+J124</f>
        <v>374.64</v>
      </c>
      <c r="K125" s="369"/>
      <c r="L125" s="419" t="str">
        <f>+IF(PT!$K$2="EN",Text!$B$23,Text!$C$23)</f>
        <v>Eólico Offshore</v>
      </c>
      <c r="M125" s="419"/>
      <c r="N125" s="419"/>
      <c r="O125" s="419"/>
      <c r="P125" s="446" vm="326">
        <f>+Charts!C55</f>
        <v>739.77390000000003</v>
      </c>
      <c r="Q125" s="447">
        <f>+Charts!E55</f>
        <v>0.12</v>
      </c>
      <c r="T125" s="200" t="s">
        <v>32</v>
      </c>
      <c r="U125" s="197" vm="167">
        <f>+[3]Backup!$J$11</f>
        <v>20390.957900000019</v>
      </c>
      <c r="V125" s="197">
        <f>ROUND(U125,2)-ROUND(F126,2)</f>
        <v>0</v>
      </c>
      <c r="W125" s="120"/>
      <c r="X125" s="197" vm="4">
        <f>+[3]Backup!$F$11</f>
        <v>19315.39219999998</v>
      </c>
      <c r="Y125" s="197">
        <f>ROUND(X125+I126-U125,1)</f>
        <v>0</v>
      </c>
    </row>
    <row r="126" spans="1:25" ht="18" customHeight="1" x14ac:dyDescent="0.25">
      <c r="A126" s="120">
        <f t="shared" si="15"/>
        <v>30</v>
      </c>
      <c r="C126" s="480" t="str">
        <f>C37</f>
        <v>EDPR</v>
      </c>
      <c r="D126" s="480"/>
      <c r="E126" s="480"/>
      <c r="F126" s="536">
        <f>+F118+F125</f>
        <v>20390.958000000017</v>
      </c>
      <c r="G126" s="537">
        <f>+G118+G125</f>
        <v>1969.3301999999999</v>
      </c>
      <c r="H126" s="537">
        <f>+H118+H125</f>
        <v>-893.76439999999991</v>
      </c>
      <c r="I126" s="538">
        <f>SUM(G126:H126)</f>
        <v>1075.5657999999999</v>
      </c>
      <c r="J126" s="541">
        <f>J118+J125</f>
        <v>1648.3712</v>
      </c>
      <c r="K126" s="369"/>
      <c r="L126" s="419" t="str">
        <f>+IF(PT!$K$2="EN",Text!$B$26,Text!$C$26)</f>
        <v>BESS</v>
      </c>
      <c r="M126" s="419"/>
      <c r="N126" s="419"/>
      <c r="O126" s="419"/>
      <c r="P126" s="446" vm="119">
        <f>+Charts!C57</f>
        <v>550.05499999999995</v>
      </c>
      <c r="Q126" s="447">
        <f>+Charts!E57</f>
        <v>1.66</v>
      </c>
    </row>
    <row r="127" spans="1:25" ht="18" customHeight="1" x14ac:dyDescent="0.25">
      <c r="A127" s="120">
        <f t="shared" si="15"/>
        <v>31</v>
      </c>
      <c r="K127" s="369"/>
      <c r="U127" s="366"/>
      <c r="V127"/>
      <c r="W127"/>
      <c r="X127"/>
      <c r="Y127"/>
    </row>
    <row r="128" spans="1:25" ht="18" customHeight="1" thickBot="1" x14ac:dyDescent="0.55000000000000004">
      <c r="A128" s="120">
        <f t="shared" si="15"/>
        <v>32</v>
      </c>
      <c r="C128" s="477" t="str">
        <f>+IF($K$2="EN",Text!$B$21,Text!$C$21)</f>
        <v>Eólico Onshore</v>
      </c>
      <c r="D128" s="135"/>
      <c r="E128" s="135"/>
      <c r="F128" s="135"/>
      <c r="G128" s="352"/>
      <c r="H128" s="352"/>
      <c r="I128" s="352"/>
      <c r="J128" s="467"/>
      <c r="L128" s="471" t="str">
        <f>+IF($K$2="EN",Text!$B$15,Text!$C$15)</f>
        <v>Adições de Capacidade YTD</v>
      </c>
      <c r="M128" s="201"/>
      <c r="N128" s="201"/>
      <c r="O128" s="201"/>
      <c r="P128" s="201"/>
      <c r="Q128" s="201"/>
      <c r="T128" s="366"/>
      <c r="U128" s="366"/>
      <c r="V128"/>
      <c r="W128"/>
      <c r="X128"/>
      <c r="Y128"/>
    </row>
    <row r="129" spans="1:26" ht="18" customHeight="1" x14ac:dyDescent="0.25">
      <c r="A129" s="120">
        <f t="shared" si="15"/>
        <v>33</v>
      </c>
      <c r="G129" s="353"/>
      <c r="H129" s="481">
        <f>H102</f>
        <v>2025</v>
      </c>
      <c r="I129" s="353"/>
      <c r="P129" s="122"/>
      <c r="Q129" s="122"/>
      <c r="T129" s="366"/>
      <c r="U129" s="366"/>
      <c r="V129"/>
      <c r="W129"/>
      <c r="X129"/>
      <c r="Y129"/>
    </row>
    <row r="130" spans="1:26" ht="18" customHeight="1" x14ac:dyDescent="0.25">
      <c r="A130" s="120">
        <f t="shared" si="15"/>
        <v>34</v>
      </c>
      <c r="C130" s="524" t="s">
        <v>9</v>
      </c>
      <c r="D130" s="474"/>
      <c r="E130" s="474"/>
      <c r="F130" s="492">
        <f>+Cur_Period</f>
        <v>2025</v>
      </c>
      <c r="G130" s="481" t="str">
        <f>+IF($K$2="EN",Text!$B$61,Text!$C$61)</f>
        <v>Adições</v>
      </c>
      <c r="H130" s="564" t="str">
        <f>+IF($K$2="EN",Text!$B$62,Text!$C$62)</f>
        <v>RdA/Descom.</v>
      </c>
      <c r="I130" s="481" t="s">
        <v>8</v>
      </c>
      <c r="J130" s="481" t="str">
        <f>+IF($K$2="EN",Text!$B$63,Text!$C$63)</f>
        <v>E/Const.</v>
      </c>
      <c r="L130" s="524" t="str">
        <f>+IF($K$2="EN",Text!$B$53,Text!$C$53)</f>
        <v>Projeto</v>
      </c>
      <c r="M130" s="524"/>
      <c r="N130" s="524"/>
      <c r="O130" s="526" t="str">
        <f>+IF($K$2="EN",Text!$B$54,Text!$C$54)</f>
        <v>País</v>
      </c>
      <c r="P130" s="481"/>
      <c r="Q130" s="481" t="s">
        <v>9</v>
      </c>
      <c r="S130" s="202"/>
      <c r="T130" s="366"/>
      <c r="U130" s="366"/>
      <c r="V130"/>
      <c r="W130"/>
      <c r="X130"/>
      <c r="Y130"/>
    </row>
    <row r="131" spans="1:26" ht="18" customHeight="1" x14ac:dyDescent="0.25">
      <c r="A131" s="120">
        <f t="shared" si="15"/>
        <v>35</v>
      </c>
      <c r="C131" s="421" t="str">
        <f>+IF($K$2="EN",Text!$B$28,Text!$C$28)</f>
        <v>Espanha</v>
      </c>
      <c r="D131" s="419"/>
      <c r="E131" s="419"/>
      <c r="F131" s="297" vm="165">
        <f>+[3]Backup!$J$164</f>
        <v>1986.7200000000003</v>
      </c>
      <c r="G131" s="350">
        <f>+'[2]Inst Capacity YTD Breakdown'!J6</f>
        <v>0</v>
      </c>
      <c r="H131" s="350">
        <f>+'[2]Inst Capacity YTD Breakdown'!K6</f>
        <v>0</v>
      </c>
      <c r="I131" s="351">
        <f t="shared" ref="I131:I148" si="21">SUM(G131:H131)</f>
        <v>0</v>
      </c>
      <c r="J131" s="298" vm="186">
        <f>+[3]Backup!$J$427</f>
        <v>173.7</v>
      </c>
      <c r="K131" s="369"/>
      <c r="L131" s="419" t="str">
        <f>+'[2]YTD Additions by Project'!C7</f>
        <v>Valle Verde</v>
      </c>
      <c r="M131" s="419"/>
      <c r="N131" s="419"/>
      <c r="O131" s="562" t="str">
        <f>+'[2]YTD Additions by Project'!G7</f>
        <v>Itália</v>
      </c>
      <c r="P131" s="419"/>
      <c r="Q131" s="327">
        <f>+'[2]YTD Additions by Project'!F7</f>
        <v>63</v>
      </c>
      <c r="S131" s="133"/>
      <c r="T131" s="292"/>
      <c r="U131" s="366"/>
      <c r="V131"/>
      <c r="W131"/>
      <c r="X131"/>
      <c r="Y131"/>
    </row>
    <row r="132" spans="1:26" ht="18" customHeight="1" x14ac:dyDescent="0.25">
      <c r="A132" s="120">
        <f t="shared" si="15"/>
        <v>36</v>
      </c>
      <c r="C132" s="421" t="str">
        <f>+IF($K$2="EN",Text!$B$29,Text!$C$29)</f>
        <v>Portugal</v>
      </c>
      <c r="D132" s="419"/>
      <c r="E132" s="419"/>
      <c r="F132" s="297" vm="247">
        <f>+[3]Backup!$J$165</f>
        <v>1177.17</v>
      </c>
      <c r="G132" s="350">
        <f>+'[2]Inst Capacity YTD Breakdown'!J7</f>
        <v>0</v>
      </c>
      <c r="H132" s="350">
        <f>+'[2]Inst Capacity YTD Breakdown'!K7</f>
        <v>0</v>
      </c>
      <c r="I132" s="351">
        <f t="shared" si="21"/>
        <v>0</v>
      </c>
      <c r="J132" s="298">
        <f>+[3]Backup!$J$428</f>
        <v>0</v>
      </c>
      <c r="K132" s="369"/>
      <c r="L132" s="419" t="str">
        <f>+'[2]YTD Additions by Project'!C8</f>
        <v>Rosamarina</v>
      </c>
      <c r="M132" s="419"/>
      <c r="N132" s="419"/>
      <c r="O132" s="562" t="str">
        <f>+'[2]YTD Additions by Project'!G8</f>
        <v>Itália</v>
      </c>
      <c r="P132" s="419"/>
      <c r="Q132" s="327">
        <f>+'[2]YTD Additions by Project'!F8</f>
        <v>43.4</v>
      </c>
      <c r="R132" s="208"/>
      <c r="S132" s="133"/>
      <c r="T132" s="366"/>
      <c r="U132" s="366"/>
      <c r="V132"/>
      <c r="W132"/>
      <c r="X132"/>
      <c r="Y132"/>
    </row>
    <row r="133" spans="1:26" ht="18" customHeight="1" x14ac:dyDescent="0.25">
      <c r="A133" s="120">
        <f t="shared" si="15"/>
        <v>37</v>
      </c>
      <c r="C133" s="421" t="str">
        <f>+IF($K$2="EN",Text!$B$30,Text!$C$30)</f>
        <v>Resto da Europa</v>
      </c>
      <c r="D133" s="419"/>
      <c r="E133" s="419"/>
      <c r="F133" s="297">
        <f>+[3]Backup!$J$166</f>
        <v>1619.2999999999997</v>
      </c>
      <c r="G133" s="350">
        <f>+SUM('[2]Inst Capacity YTD Breakdown'!J8:J17)</f>
        <v>182.5</v>
      </c>
      <c r="H133" s="350">
        <f>+SUM('[2]Inst Capacity YTD Breakdown'!K8:K17)</f>
        <v>-270.82499999999999</v>
      </c>
      <c r="I133" s="351">
        <f t="shared" si="21"/>
        <v>-88.324999999999989</v>
      </c>
      <c r="J133" s="298">
        <f>+[3]Backup!$J$429</f>
        <v>64.8</v>
      </c>
      <c r="K133" s="369"/>
      <c r="L133" s="419" t="str">
        <f>+'[2]YTD Additions by Project'!C9</f>
        <v>Plémet</v>
      </c>
      <c r="M133" s="419"/>
      <c r="N133" s="419"/>
      <c r="O133" s="562" t="str">
        <f>+'[2]YTD Additions by Project'!G9</f>
        <v>França</v>
      </c>
      <c r="P133" s="419"/>
      <c r="Q133" s="327">
        <f>+'[2]YTD Additions by Project'!F9</f>
        <v>11</v>
      </c>
      <c r="S133" s="204"/>
      <c r="T133" s="366"/>
      <c r="U133" s="366"/>
      <c r="V133"/>
      <c r="W133"/>
      <c r="X133"/>
      <c r="Y133"/>
    </row>
    <row r="134" spans="1:26" ht="18" customHeight="1" x14ac:dyDescent="0.25">
      <c r="A134" s="120">
        <f t="shared" si="15"/>
        <v>38</v>
      </c>
      <c r="C134" s="475" t="str">
        <f>+IF($K$2="EN",Text!$B$27,Text!$C$27)</f>
        <v>Europa</v>
      </c>
      <c r="D134" s="515"/>
      <c r="E134" s="515"/>
      <c r="F134" s="528" vm="237">
        <f>+[3]Backup!$J$163</f>
        <v>4783.1900000000005</v>
      </c>
      <c r="G134" s="529">
        <f>+SUM(G131:G133)</f>
        <v>182.5</v>
      </c>
      <c r="H134" s="529">
        <f>+SUM(H131:H133)</f>
        <v>-270.82499999999999</v>
      </c>
      <c r="I134" s="530">
        <f t="shared" si="21"/>
        <v>-88.324999999999989</v>
      </c>
      <c r="J134" s="539">
        <f>+SUM(J131:J133)</f>
        <v>238.5</v>
      </c>
      <c r="K134" s="369"/>
      <c r="L134" s="419" t="str">
        <f>+'[2]YTD Additions by Project'!C10</f>
        <v>Saint-Bon</v>
      </c>
      <c r="M134" s="419"/>
      <c r="N134" s="419"/>
      <c r="O134" s="562" t="str">
        <f>+'[2]YTD Additions by Project'!G10</f>
        <v>França</v>
      </c>
      <c r="P134" s="419"/>
      <c r="Q134" s="327">
        <f>+'[2]YTD Additions by Project'!F10</f>
        <v>12.6</v>
      </c>
      <c r="S134" s="133"/>
      <c r="T134" s="366"/>
      <c r="U134" s="366"/>
      <c r="V134"/>
      <c r="W134"/>
      <c r="X134"/>
      <c r="Y134"/>
    </row>
    <row r="135" spans="1:26" ht="18" customHeight="1" x14ac:dyDescent="0.25">
      <c r="A135" s="120">
        <f t="shared" si="15"/>
        <v>39</v>
      </c>
      <c r="C135" s="421" t="str">
        <f>+IF($K$2="EN",Text!$B$35,Text!$C$35)</f>
        <v>EUA</v>
      </c>
      <c r="D135" s="419"/>
      <c r="E135" s="419"/>
      <c r="F135" s="297" vm="199">
        <f>+[3]Backup!$J$179</f>
        <v>6176.8320000000003</v>
      </c>
      <c r="G135" s="350">
        <f>+'[2]Inst Capacity YTD Breakdown'!J19</f>
        <v>269.85000000000002</v>
      </c>
      <c r="H135" s="350">
        <f>+'[2]Inst Capacity YTD Breakdown'!K19</f>
        <v>-31.080000000000002</v>
      </c>
      <c r="I135" s="351">
        <f t="shared" si="21"/>
        <v>238.77</v>
      </c>
      <c r="J135" s="298">
        <f>+[3]Backup!$J$442</f>
        <v>0</v>
      </c>
      <c r="K135" s="369"/>
      <c r="L135" s="419" t="str">
        <f>+'[2]YTD Additions by Project'!C11</f>
        <v>Wanchy-Capval Londiniéres</v>
      </c>
      <c r="M135" s="419"/>
      <c r="N135" s="419"/>
      <c r="O135" s="562" t="str">
        <f>+'[2]YTD Additions by Project'!G11</f>
        <v>França</v>
      </c>
      <c r="P135" s="419"/>
      <c r="Q135" s="327">
        <f>+'[2]YTD Additions by Project'!F11</f>
        <v>29.4</v>
      </c>
      <c r="R135" s="208"/>
      <c r="S135" s="133"/>
      <c r="T135"/>
      <c r="U135"/>
      <c r="V135"/>
      <c r="W135"/>
      <c r="X135"/>
      <c r="Y135"/>
    </row>
    <row r="136" spans="1:26" ht="18" customHeight="1" x14ac:dyDescent="0.25">
      <c r="A136" s="120">
        <f t="shared" si="15"/>
        <v>40</v>
      </c>
      <c r="C136" s="421" t="str">
        <f>+IF($K$2="EN",Text!$B$38,Text!$C$38)</f>
        <v>Canadá e México</v>
      </c>
      <c r="D136" s="419"/>
      <c r="E136" s="419"/>
      <c r="F136" s="297">
        <f>+[3]Backup!$J$180+[3]Backup!$J$181</f>
        <v>425.26</v>
      </c>
      <c r="G136" s="350">
        <f>+SUM('[2]Inst Capacity YTD Breakdown'!J20:J21)</f>
        <v>0</v>
      </c>
      <c r="H136" s="350">
        <f>+SUM('[2]Inst Capacity YTD Breakdown'!K20:K21)</f>
        <v>0</v>
      </c>
      <c r="I136" s="351">
        <f t="shared" si="21"/>
        <v>0</v>
      </c>
      <c r="J136" s="298">
        <f>+[3]Backup!$J$443+[3]Backup!$J$444</f>
        <v>0</v>
      </c>
      <c r="K136" s="369"/>
      <c r="L136" s="419" t="str">
        <f>+'[2]YTD Additions by Project'!C12</f>
        <v>Kadmeios</v>
      </c>
      <c r="M136" s="419"/>
      <c r="N136" s="419"/>
      <c r="O136" s="562" t="str">
        <f>+'[2]YTD Additions by Project'!G12</f>
        <v>Grécia</v>
      </c>
      <c r="P136" s="419"/>
      <c r="Q136" s="327">
        <f>+'[2]YTD Additions by Project'!F12</f>
        <v>23.1</v>
      </c>
      <c r="S136" s="133"/>
      <c r="T136"/>
      <c r="U136"/>
      <c r="V136"/>
      <c r="W136"/>
      <c r="X136"/>
      <c r="Y136"/>
    </row>
    <row r="137" spans="1:26" ht="18" customHeight="1" x14ac:dyDescent="0.25">
      <c r="A137" s="120">
        <f t="shared" si="15"/>
        <v>41</v>
      </c>
      <c r="C137" s="475" t="str">
        <f>+IF($K$2="EN",Text!$B$34,Text!$C$34)</f>
        <v>América do Norte</v>
      </c>
      <c r="D137" s="515"/>
      <c r="E137" s="515"/>
      <c r="F137" s="528" vm="125">
        <f>+[3]Backup!$J$178</f>
        <v>6602.0919999999996</v>
      </c>
      <c r="G137" s="529">
        <f>+SUM(G135:G136)</f>
        <v>269.85000000000002</v>
      </c>
      <c r="H137" s="529">
        <f>+SUM(H135:H136)</f>
        <v>-31.080000000000002</v>
      </c>
      <c r="I137" s="530">
        <f t="shared" si="21"/>
        <v>238.77</v>
      </c>
      <c r="J137" s="539">
        <f>+SUM(J135:J136)</f>
        <v>0</v>
      </c>
      <c r="K137" s="369"/>
      <c r="L137" s="419" t="str">
        <f>+'[2]YTD Additions by Project'!C13</f>
        <v>Blue Canyon I</v>
      </c>
      <c r="M137" s="419"/>
      <c r="N137" s="419"/>
      <c r="O137" s="562" t="str">
        <f>+'[2]YTD Additions by Project'!G13</f>
        <v>EUA</v>
      </c>
      <c r="P137" s="419"/>
      <c r="Q137" s="327">
        <f>+'[2]YTD Additions by Project'!F13</f>
        <v>74.25</v>
      </c>
      <c r="S137" s="133"/>
      <c r="T137"/>
      <c r="U137"/>
      <c r="V137"/>
      <c r="W137"/>
      <c r="X137"/>
      <c r="Y137"/>
    </row>
    <row r="138" spans="1:26" ht="18" customHeight="1" x14ac:dyDescent="0.25">
      <c r="A138" s="120">
        <f t="shared" si="15"/>
        <v>42</v>
      </c>
      <c r="C138" s="421" t="str">
        <f>+IF($K$2="EN",Text!$B$41,Text!$C$41)</f>
        <v>Brasil</v>
      </c>
      <c r="D138" s="419"/>
      <c r="E138" s="419"/>
      <c r="F138" s="297" vm="224">
        <f>+[3]Backup!$J$184</f>
        <v>1072.8000000000002</v>
      </c>
      <c r="G138" s="350">
        <f>+'[2]Inst Capacity YTD Breakdown'!J23</f>
        <v>123.9</v>
      </c>
      <c r="H138" s="350">
        <f>+'[2]Inst Capacity YTD Breakdown'!K23</f>
        <v>0</v>
      </c>
      <c r="I138" s="351">
        <f t="shared" si="21"/>
        <v>123.9</v>
      </c>
      <c r="J138" s="298">
        <f>+[3]Backup!$J$447</f>
        <v>0</v>
      </c>
      <c r="K138" s="369"/>
      <c r="L138" s="419" t="str">
        <f>+'[2]YTD Additions by Project'!C14</f>
        <v>Carpenter</v>
      </c>
      <c r="M138" s="419"/>
      <c r="N138" s="419"/>
      <c r="O138" s="562" t="str">
        <f>+'[2]YTD Additions by Project'!G14</f>
        <v>EUA</v>
      </c>
      <c r="P138" s="419"/>
      <c r="Q138" s="327">
        <f>+'[2]YTD Additions by Project'!F14</f>
        <v>195.6</v>
      </c>
      <c r="S138" s="133"/>
      <c r="T138"/>
      <c r="U138"/>
      <c r="V138"/>
      <c r="W138"/>
      <c r="X138"/>
      <c r="Y138"/>
    </row>
    <row r="139" spans="1:26" ht="18" customHeight="1" x14ac:dyDescent="0.25">
      <c r="A139" s="120">
        <f t="shared" si="15"/>
        <v>43</v>
      </c>
      <c r="C139" s="421" t="str">
        <f>+IF($K$2="EN",Text!$B$44,Text!$C$44)</f>
        <v>Chile</v>
      </c>
      <c r="D139" s="419"/>
      <c r="E139" s="419"/>
      <c r="F139" s="297">
        <f>+[3]Backup!$J$185+[3]Backup!$J$186</f>
        <v>82.6</v>
      </c>
      <c r="G139" s="350">
        <f>+SUM('[2]Inst Capacity YTD Breakdown'!J24:J25)</f>
        <v>0</v>
      </c>
      <c r="H139" s="350">
        <f>+SUM('[2]Inst Capacity YTD Breakdown'!K24:K25)</f>
        <v>0</v>
      </c>
      <c r="I139" s="351">
        <f t="shared" si="21"/>
        <v>0</v>
      </c>
      <c r="J139" s="298">
        <f>+[3]Backup!$J$449</f>
        <v>0</v>
      </c>
      <c r="K139" s="369"/>
      <c r="L139" s="419" t="str">
        <f>+'[2]YTD Additions by Project'!C15</f>
        <v>Serra da Borborema I-IV</v>
      </c>
      <c r="M139" s="419"/>
      <c r="N139" s="419"/>
      <c r="O139" s="562" t="str">
        <f>+'[2]YTD Additions by Project'!G15</f>
        <v>Brasil</v>
      </c>
      <c r="P139" s="419"/>
      <c r="Q139" s="327">
        <f>+'[2]YTD Additions by Project'!F15</f>
        <v>123.9</v>
      </c>
      <c r="S139" s="133"/>
      <c r="T139"/>
      <c r="U139"/>
      <c r="V139"/>
      <c r="W139"/>
      <c r="X139"/>
      <c r="Y139"/>
      <c r="Z139"/>
    </row>
    <row r="140" spans="1:26" ht="18" customHeight="1" x14ac:dyDescent="0.25">
      <c r="A140" s="120">
        <f t="shared" si="15"/>
        <v>44</v>
      </c>
      <c r="C140" s="478" t="str">
        <f>+IF($K$2="EN",Text!$B$40,Text!$C$40)</f>
        <v>América do Sul</v>
      </c>
      <c r="D140" s="524"/>
      <c r="E140" s="524"/>
      <c r="F140" s="531" vm="195">
        <f>+[3]Backup!$J$183</f>
        <v>1155.4000000000003</v>
      </c>
      <c r="G140" s="532">
        <f>+SUM(G138:G139)</f>
        <v>123.9</v>
      </c>
      <c r="H140" s="532">
        <f>+SUM(H138:H139)</f>
        <v>0</v>
      </c>
      <c r="I140" s="533">
        <f t="shared" si="21"/>
        <v>123.9</v>
      </c>
      <c r="J140" s="540">
        <f>+SUM(J138:J139)</f>
        <v>0</v>
      </c>
      <c r="K140" s="369"/>
      <c r="L140" s="419"/>
      <c r="M140" s="419"/>
      <c r="N140" s="419"/>
      <c r="O140" s="419"/>
      <c r="P140" s="419"/>
      <c r="Q140" s="419"/>
      <c r="S140" s="205"/>
      <c r="T140"/>
      <c r="U140"/>
      <c r="V140"/>
      <c r="W140"/>
      <c r="X140"/>
      <c r="Y140"/>
      <c r="Z140"/>
    </row>
    <row r="141" spans="1:26" ht="18" customHeight="1" x14ac:dyDescent="0.25">
      <c r="A141" s="120">
        <f t="shared" si="15"/>
        <v>45</v>
      </c>
      <c r="C141" s="535" t="str">
        <f>+IF($K$2="EN",Text!$B$55,Text!$C$55)</f>
        <v>EBITDA MW</v>
      </c>
      <c r="D141" s="535"/>
      <c r="E141" s="535"/>
      <c r="F141" s="536" vm="188">
        <f>+[3]Backup!$J$161</f>
        <v>12540.682000000001</v>
      </c>
      <c r="G141" s="537">
        <f>+G134+G137+G140</f>
        <v>576.25</v>
      </c>
      <c r="H141" s="537">
        <f>+H134+H137+H140</f>
        <v>-301.90499999999997</v>
      </c>
      <c r="I141" s="538">
        <f t="shared" si="21"/>
        <v>274.34500000000003</v>
      </c>
      <c r="J141" s="541">
        <f>+J140+J137+J134</f>
        <v>238.5</v>
      </c>
      <c r="K141" s="369"/>
      <c r="L141" s="419"/>
      <c r="M141" s="419"/>
      <c r="N141" s="419"/>
      <c r="O141" s="419"/>
      <c r="P141" s="419"/>
      <c r="Q141" s="419"/>
      <c r="T141"/>
      <c r="U141"/>
      <c r="V141"/>
      <c r="W141"/>
      <c r="X141"/>
      <c r="Y141"/>
      <c r="Z141"/>
    </row>
    <row r="142" spans="1:26" ht="18" customHeight="1" x14ac:dyDescent="0.25">
      <c r="A142" s="120">
        <f t="shared" si="15"/>
        <v>46</v>
      </c>
      <c r="C142" s="421" t="str">
        <f>+IF($K$2="EN",Text!$B$28,Text!$C$28)</f>
        <v>Espanha</v>
      </c>
      <c r="D142" s="419"/>
      <c r="E142" s="419"/>
      <c r="F142" s="297" vm="180">
        <f>+[3]Backup!$J$248</f>
        <v>120.13</v>
      </c>
      <c r="G142" s="350">
        <f>+'[2]Inst Capacity YTD Breakdown'!J33</f>
        <v>0</v>
      </c>
      <c r="H142" s="350">
        <f>+'[2]Inst Capacity YTD Breakdown'!K33</f>
        <v>0</v>
      </c>
      <c r="I142" s="351">
        <f t="shared" si="21"/>
        <v>0</v>
      </c>
      <c r="J142" s="298">
        <v>0</v>
      </c>
      <c r="K142" s="369"/>
      <c r="L142" s="419"/>
      <c r="M142" s="419"/>
      <c r="N142" s="419"/>
      <c r="O142" s="419"/>
      <c r="P142" s="419"/>
      <c r="Q142" s="419"/>
      <c r="T142" s="310"/>
      <c r="U142"/>
      <c r="V142"/>
      <c r="W142"/>
      <c r="X142"/>
      <c r="Y142"/>
      <c r="Z142"/>
    </row>
    <row r="143" spans="1:26" ht="18" customHeight="1" x14ac:dyDescent="0.25">
      <c r="A143" s="120">
        <f t="shared" si="15"/>
        <v>47</v>
      </c>
      <c r="C143" s="421" t="str">
        <f>+IF($K$2="EN",Text!$B$29,Text!$C$29)</f>
        <v>Portugal</v>
      </c>
      <c r="D143" s="419"/>
      <c r="E143" s="419"/>
      <c r="F143" s="297" vm="243">
        <f>+[3]Backup!$J$249</f>
        <v>19.799999999999997</v>
      </c>
      <c r="G143" s="350">
        <f>+'[2]Inst Capacity YTD Breakdown'!J34</f>
        <v>0</v>
      </c>
      <c r="H143" s="350">
        <f>+'[2]Inst Capacity YTD Breakdown'!K34</f>
        <v>0</v>
      </c>
      <c r="I143" s="351">
        <f t="shared" si="21"/>
        <v>0</v>
      </c>
      <c r="J143" s="298">
        <v>0</v>
      </c>
      <c r="K143" s="369"/>
      <c r="L143" s="419"/>
      <c r="M143" s="419"/>
      <c r="N143" s="419"/>
      <c r="O143" s="419"/>
      <c r="P143" s="419"/>
      <c r="Q143" s="419"/>
      <c r="T143"/>
      <c r="U143"/>
      <c r="V143"/>
      <c r="W143"/>
      <c r="X143"/>
      <c r="Y143"/>
      <c r="Z143"/>
    </row>
    <row r="144" spans="1:26" ht="18" customHeight="1" x14ac:dyDescent="0.25">
      <c r="A144" s="120">
        <f t="shared" si="15"/>
        <v>48</v>
      </c>
      <c r="C144" s="475" t="str">
        <f>+IF($K$2="EN",Text!$B$27,Text!$C$27)</f>
        <v>Europa</v>
      </c>
      <c r="D144" s="515"/>
      <c r="E144" s="515"/>
      <c r="F144" s="528" vm="117">
        <f>+[3]Backup!$J$247</f>
        <v>139.93</v>
      </c>
      <c r="G144" s="529">
        <f>+G142+G143</f>
        <v>0</v>
      </c>
      <c r="H144" s="529">
        <f>+H142+H143</f>
        <v>0</v>
      </c>
      <c r="I144" s="530">
        <f t="shared" si="21"/>
        <v>0</v>
      </c>
      <c r="J144" s="542">
        <v>0</v>
      </c>
      <c r="K144" s="369"/>
      <c r="L144" s="419"/>
      <c r="M144" s="419"/>
      <c r="N144" s="419"/>
      <c r="O144" s="419"/>
      <c r="P144" s="419"/>
      <c r="Q144" s="419"/>
      <c r="S144" s="122"/>
      <c r="T144"/>
      <c r="U144"/>
      <c r="V144"/>
      <c r="W144"/>
      <c r="X144"/>
      <c r="Y144"/>
      <c r="Z144"/>
    </row>
    <row r="145" spans="1:26" ht="18" customHeight="1" x14ac:dyDescent="0.25">
      <c r="A145" s="120">
        <f t="shared" si="15"/>
        <v>49</v>
      </c>
      <c r="C145" s="421" t="str">
        <f>+IF($K$2="EN",Text!$B$39,Text!$C$39)</f>
        <v>EUA e Canadá</v>
      </c>
      <c r="D145" s="419"/>
      <c r="E145" s="419"/>
      <c r="F145" s="297">
        <f>+[3]Backup!$J$263+[3]Backup!$J$264</f>
        <v>453.76000000000005</v>
      </c>
      <c r="G145" s="350">
        <f>+SUM('[2]Inst Capacity YTD Breakdown'!J37:J38)</f>
        <v>-18.5625</v>
      </c>
      <c r="H145" s="350">
        <f>+SUM('[2]Inst Capacity YTD Breakdown'!K37:K38)</f>
        <v>0</v>
      </c>
      <c r="I145" s="351">
        <f t="shared" si="21"/>
        <v>-18.5625</v>
      </c>
      <c r="J145" s="445">
        <v>0</v>
      </c>
      <c r="K145" s="369"/>
      <c r="L145" s="419"/>
      <c r="M145" s="419"/>
      <c r="N145" s="419"/>
      <c r="O145" s="419"/>
      <c r="P145" s="419"/>
      <c r="Q145" s="450"/>
      <c r="S145" s="122"/>
      <c r="T145" s="292"/>
      <c r="U145"/>
      <c r="V145"/>
      <c r="W145"/>
      <c r="X145"/>
      <c r="Y145"/>
      <c r="Z145"/>
    </row>
    <row r="146" spans="1:26" ht="18" customHeight="1" x14ac:dyDescent="0.25">
      <c r="A146" s="120">
        <f t="shared" si="15"/>
        <v>50</v>
      </c>
      <c r="C146" s="478" t="str">
        <f>+IF($K$2="EN",Text!$B$34,Text!$C$34)</f>
        <v>América do Norte</v>
      </c>
      <c r="D146" s="524"/>
      <c r="E146" s="524"/>
      <c r="F146" s="531" vm="174">
        <f>+[3]Backup!$J$262</f>
        <v>453.76</v>
      </c>
      <c r="G146" s="532">
        <f>+G145</f>
        <v>-18.5625</v>
      </c>
      <c r="H146" s="532">
        <f>+H145</f>
        <v>0</v>
      </c>
      <c r="I146" s="533">
        <f t="shared" si="21"/>
        <v>-18.5625</v>
      </c>
      <c r="J146" s="543">
        <v>0</v>
      </c>
      <c r="K146" s="369"/>
      <c r="L146" s="419"/>
      <c r="M146" s="419"/>
      <c r="N146" s="419"/>
      <c r="O146" s="419"/>
      <c r="P146" s="419"/>
      <c r="Q146" s="450"/>
      <c r="S146" s="122"/>
      <c r="T146"/>
      <c r="U146"/>
      <c r="V146"/>
      <c r="W146"/>
      <c r="X146"/>
      <c r="Y146"/>
      <c r="Z146"/>
    </row>
    <row r="147" spans="1:26" ht="18" customHeight="1" x14ac:dyDescent="0.25">
      <c r="A147" s="120">
        <f t="shared" si="15"/>
        <v>51</v>
      </c>
      <c r="C147" s="535" t="str">
        <f>+IF($K$2="EN",Text!$B$56,Text!$C$56)</f>
        <v>Equiv. Patrimonial</v>
      </c>
      <c r="D147" s="535"/>
      <c r="E147" s="535"/>
      <c r="F147" s="536" vm="232">
        <f>+[3]Backup!$J$245</f>
        <v>593.69000000000005</v>
      </c>
      <c r="G147" s="537">
        <f>+G144+G146</f>
        <v>-18.5625</v>
      </c>
      <c r="H147" s="537">
        <f>+H144+H146</f>
        <v>0</v>
      </c>
      <c r="I147" s="538">
        <f t="shared" si="21"/>
        <v>-18.5625</v>
      </c>
      <c r="J147" s="541">
        <v>0</v>
      </c>
      <c r="K147" s="369"/>
      <c r="L147" s="419"/>
      <c r="M147" s="443"/>
      <c r="N147" s="443"/>
      <c r="O147" s="443"/>
      <c r="P147" s="443"/>
      <c r="Q147" s="449"/>
      <c r="S147" s="122"/>
      <c r="T147"/>
      <c r="U147"/>
      <c r="V147"/>
      <c r="W147"/>
      <c r="X147"/>
      <c r="Y147"/>
    </row>
    <row r="148" spans="1:26" ht="18" customHeight="1" x14ac:dyDescent="0.35">
      <c r="A148" s="120">
        <f t="shared" si="15"/>
        <v>52</v>
      </c>
      <c r="C148" s="480" t="str">
        <f>C37</f>
        <v>EDPR</v>
      </c>
      <c r="D148" s="480"/>
      <c r="E148" s="480"/>
      <c r="F148" s="536">
        <f>+[3]Backup!$J$161+[3]Backup!$J$245</f>
        <v>13134.372000000001</v>
      </c>
      <c r="G148" s="537">
        <f>+G141+G147</f>
        <v>557.6875</v>
      </c>
      <c r="H148" s="537">
        <f>+H141+H147</f>
        <v>-301.90499999999997</v>
      </c>
      <c r="I148" s="538">
        <f t="shared" si="21"/>
        <v>255.78250000000003</v>
      </c>
      <c r="J148" s="541">
        <f>+J141+J147</f>
        <v>238.5</v>
      </c>
      <c r="K148" s="369"/>
      <c r="L148" s="544" t="str">
        <f>+IF($K$2="EN",Text!$B$16,Text!$C$16)</f>
        <v>Adições de Eólico Onshore YTD</v>
      </c>
      <c r="M148" s="524"/>
      <c r="N148" s="524"/>
      <c r="O148" s="481"/>
      <c r="P148" s="545"/>
      <c r="Q148" s="546">
        <f>SUM(Q131:Q147)</f>
        <v>576.25</v>
      </c>
      <c r="S148" s="365" t="b">
        <f>ROUND(Q148+U148,2)=ROUND(G148,2)</f>
        <v>1</v>
      </c>
      <c r="T148" s="348" t="str">
        <f>+'[2]YTD Additions by Project'!$C$13</f>
        <v>Blue Canyon I</v>
      </c>
      <c r="U148" s="291">
        <f>+G145</f>
        <v>-18.5625</v>
      </c>
      <c r="V148"/>
    </row>
    <row r="149" spans="1:26" ht="18" customHeight="1" x14ac:dyDescent="0.25">
      <c r="A149" s="120">
        <f t="shared" si="15"/>
        <v>53</v>
      </c>
      <c r="G149" s="354"/>
      <c r="H149" s="354"/>
      <c r="I149" s="354"/>
      <c r="Q149" s="208"/>
      <c r="W149"/>
    </row>
    <row r="150" spans="1:26" ht="18" customHeight="1" thickBot="1" x14ac:dyDescent="0.55000000000000004">
      <c r="A150" s="120">
        <f t="shared" si="15"/>
        <v>54</v>
      </c>
      <c r="C150" s="477" t="str">
        <f>+IF($K$2="EN",Text!$B$22,Text!$C$22)</f>
        <v>Solar e BESS</v>
      </c>
      <c r="D150" s="135"/>
      <c r="E150" s="135"/>
      <c r="F150" s="135"/>
      <c r="G150" s="352"/>
      <c r="H150" s="352"/>
      <c r="I150" s="352"/>
      <c r="J150" s="135"/>
      <c r="L150" s="471" t="str">
        <f>+IF($K$2="EN",Text!$B$15,Text!$C$15)</f>
        <v>Adições de Capacidade YTD</v>
      </c>
      <c r="M150" s="547"/>
      <c r="N150" s="547"/>
      <c r="O150" s="547"/>
      <c r="P150" s="547"/>
      <c r="Q150" s="548"/>
      <c r="T150"/>
      <c r="U150"/>
      <c r="V150"/>
      <c r="W150"/>
    </row>
    <row r="151" spans="1:26" ht="18" customHeight="1" x14ac:dyDescent="0.25">
      <c r="A151" s="120">
        <f t="shared" si="15"/>
        <v>55</v>
      </c>
      <c r="G151" s="353"/>
      <c r="H151" s="481">
        <f>H102</f>
        <v>2025</v>
      </c>
      <c r="I151" s="353"/>
      <c r="P151" s="122"/>
      <c r="Q151" s="318"/>
      <c r="T151"/>
      <c r="U151"/>
      <c r="V151"/>
      <c r="W151"/>
    </row>
    <row r="152" spans="1:26" ht="18" customHeight="1" x14ac:dyDescent="0.25">
      <c r="A152" s="120">
        <f t="shared" si="15"/>
        <v>56</v>
      </c>
      <c r="C152" s="524" t="s">
        <v>9</v>
      </c>
      <c r="D152" s="474"/>
      <c r="E152" s="474"/>
      <c r="F152" s="492">
        <f>+Cur_Period</f>
        <v>2025</v>
      </c>
      <c r="G152" s="481" t="str">
        <f>+IF($K$2="EN",Text!$B$61,Text!$C$61)</f>
        <v>Adições</v>
      </c>
      <c r="H152" s="564" t="str">
        <f>+IF($K$2="EN",Text!$B$62,Text!$C$62)</f>
        <v>RdA/Descom.</v>
      </c>
      <c r="I152" s="481" t="s">
        <v>8</v>
      </c>
      <c r="J152" s="481" t="str">
        <f>+IF($K$2="EN",Text!$B$63,Text!$C$63)</f>
        <v>E/Const.</v>
      </c>
      <c r="L152" s="524" t="str">
        <f>+IF($K$2="EN",Text!$B$53,Text!$C$53)</f>
        <v>Projeto</v>
      </c>
      <c r="M152" s="524"/>
      <c r="N152" s="524"/>
      <c r="O152" s="524" t="str">
        <f>+IF($K$2="EN",Text!$B$54,Text!$C$54)</f>
        <v>País</v>
      </c>
      <c r="P152" s="481"/>
      <c r="Q152" s="549" t="s">
        <v>9</v>
      </c>
      <c r="T152"/>
      <c r="U152"/>
      <c r="V152"/>
      <c r="W152"/>
    </row>
    <row r="153" spans="1:26" ht="18" customHeight="1" x14ac:dyDescent="0.25">
      <c r="A153" s="120">
        <f t="shared" si="15"/>
        <v>57</v>
      </c>
      <c r="C153" s="421" t="str">
        <f>+IF($K$2="EN",Text!$B$28,Text!$C$28)</f>
        <v>Espanha</v>
      </c>
      <c r="D153" s="419"/>
      <c r="E153" s="419"/>
      <c r="F153" s="297" vm="228">
        <f>+[3]Backup!$J$205</f>
        <v>95.02000000000001</v>
      </c>
      <c r="G153" s="350">
        <f>+'[2]Inst Capacity YTD Breakdown'!Q6</f>
        <v>19.68</v>
      </c>
      <c r="H153" s="350">
        <f>+'[2]Inst Capacity YTD Breakdown'!R6</f>
        <v>-272.56</v>
      </c>
      <c r="I153" s="355">
        <f t="shared" ref="I153:I172" si="22">SUM(G153:H153)</f>
        <v>-252.88</v>
      </c>
      <c r="J153" s="298" vm="211">
        <f>+[3]Backup!$J$468</f>
        <v>115.7</v>
      </c>
      <c r="K153" s="369"/>
      <c r="L153" s="419" t="str">
        <f>+'[2]YTD Additions by Project'!L22</f>
        <v>Palma</v>
      </c>
      <c r="M153" s="419"/>
      <c r="N153" s="419"/>
      <c r="O153" s="562" t="str">
        <f>+'[2]YTD Additions by Project'!O22</f>
        <v>Espanha</v>
      </c>
      <c r="P153" s="419"/>
      <c r="Q153" s="327">
        <f>+'[2]YTD Additions by Project'!N22</f>
        <v>19.68</v>
      </c>
      <c r="T153"/>
      <c r="U153"/>
      <c r="V153"/>
      <c r="W153"/>
    </row>
    <row r="154" spans="1:26" ht="18" customHeight="1" x14ac:dyDescent="0.25">
      <c r="A154" s="120">
        <f t="shared" si="15"/>
        <v>58</v>
      </c>
      <c r="C154" s="421" t="str">
        <f>+IF($K$2="EN",Text!$B$29,Text!$C$29)</f>
        <v>Portugal</v>
      </c>
      <c r="D154" s="419"/>
      <c r="E154" s="419"/>
      <c r="F154" s="297" vm="166">
        <f>+[3]Backup!$J$206</f>
        <v>248.9</v>
      </c>
      <c r="G154" s="350">
        <f>+'[2]Inst Capacity YTD Breakdown'!Q7</f>
        <v>61</v>
      </c>
      <c r="H154" s="370">
        <f>+'[2]Inst Capacity YTD Breakdown'!R7</f>
        <v>-47.9</v>
      </c>
      <c r="I154" s="355">
        <f t="shared" si="22"/>
        <v>13.100000000000001</v>
      </c>
      <c r="J154" s="298">
        <f>+[3]Backup!$J$469</f>
        <v>0</v>
      </c>
      <c r="K154" s="369"/>
      <c r="L154" s="419" t="str">
        <f>+'[2]YTD Additions by Project'!L23</f>
        <v>Charneca das Lebres (Hybrid)</v>
      </c>
      <c r="M154" s="419"/>
      <c r="N154" s="419"/>
      <c r="O154" s="562" t="str">
        <f>+'[2]YTD Additions by Project'!O23</f>
        <v>Portugal</v>
      </c>
      <c r="P154" s="419"/>
      <c r="Q154" s="327">
        <f>+'[2]YTD Additions by Project'!N23</f>
        <v>13.1</v>
      </c>
      <c r="T154"/>
      <c r="U154"/>
      <c r="V154"/>
      <c r="W154"/>
    </row>
    <row r="155" spans="1:26" ht="18" customHeight="1" x14ac:dyDescent="0.25">
      <c r="A155" s="120">
        <f t="shared" si="15"/>
        <v>59</v>
      </c>
      <c r="C155" s="421" t="str">
        <f>+IF($K$2="EN",Text!$B$30,Text!$C$30)</f>
        <v>Resto da Europa</v>
      </c>
      <c r="D155" s="419"/>
      <c r="E155" s="419"/>
      <c r="F155" s="297">
        <f>+[3]Backup!$J$207</f>
        <v>597.22149999999988</v>
      </c>
      <c r="G155" s="350">
        <f>+SUM('[2]Inst Capacity YTD Breakdown'!Q8:Q17)</f>
        <v>246.1215</v>
      </c>
      <c r="H155" s="350">
        <f>+SUM('[2]Inst Capacity YTD Breakdown'!R8:R17)</f>
        <v>-208.036</v>
      </c>
      <c r="I155" s="351">
        <f t="shared" si="22"/>
        <v>38.085499999999996</v>
      </c>
      <c r="J155" s="298">
        <f>+[3]Backup!$J$470</f>
        <v>198.75</v>
      </c>
      <c r="K155" s="369"/>
      <c r="L155" s="556" t="str">
        <f>+'[2]YTD Additions by Project'!L24</f>
        <v>Pracana (Hybrid)</v>
      </c>
      <c r="M155" s="419"/>
      <c r="N155" s="419"/>
      <c r="O155" s="562" t="str">
        <f>+'[2]YTD Additions by Project'!O24</f>
        <v>Portugal</v>
      </c>
      <c r="P155" s="419"/>
      <c r="Q155" s="327">
        <f>+'[2]YTD Additions by Project'!N24</f>
        <v>47.9</v>
      </c>
      <c r="T155"/>
      <c r="U155"/>
      <c r="V155"/>
      <c r="W155"/>
    </row>
    <row r="156" spans="1:26" ht="18" customHeight="1" x14ac:dyDescent="0.35">
      <c r="A156" s="120">
        <f t="shared" si="15"/>
        <v>60</v>
      </c>
      <c r="C156" s="475" t="str">
        <f>+IF($K$2="EN",Text!$B$27,Text!$C$27)</f>
        <v>Europa</v>
      </c>
      <c r="D156" s="515"/>
      <c r="E156" s="515"/>
      <c r="F156" s="528" vm="196">
        <f>+[3]Backup!$J$204</f>
        <v>941.14149999999995</v>
      </c>
      <c r="G156" s="529">
        <f>+SUM(G153:G155)</f>
        <v>326.80150000000003</v>
      </c>
      <c r="H156" s="529">
        <f>+SUM(H153:H155)</f>
        <v>-528.49599999999998</v>
      </c>
      <c r="I156" s="530">
        <f t="shared" si="22"/>
        <v>-201.69449999999995</v>
      </c>
      <c r="J156" s="539">
        <f>+SUM(J153:J155)</f>
        <v>314.45</v>
      </c>
      <c r="K156" s="369"/>
      <c r="L156" s="419" t="str">
        <f>+'[2]YTD Additions by Project'!L25</f>
        <v>Menestreau</v>
      </c>
      <c r="M156" s="419"/>
      <c r="N156" s="419"/>
      <c r="O156" s="562" t="str">
        <f>+'[2]YTD Additions by Project'!O25</f>
        <v>França</v>
      </c>
      <c r="P156" s="419"/>
      <c r="Q156" s="327">
        <f>+'[2]YTD Additions by Project'!N25</f>
        <v>11.66</v>
      </c>
      <c r="S156" s="290"/>
      <c r="T156"/>
      <c r="U156"/>
      <c r="V156"/>
      <c r="W156"/>
    </row>
    <row r="157" spans="1:26" ht="18" customHeight="1" x14ac:dyDescent="0.35">
      <c r="A157" s="120">
        <f t="shared" si="15"/>
        <v>61</v>
      </c>
      <c r="C157" s="421" t="str">
        <f>+IF($K$2="EN",Text!$B$35,Text!$C$35)</f>
        <v>EUA</v>
      </c>
      <c r="D157" s="419"/>
      <c r="E157" s="419"/>
      <c r="F157" s="297" vm="161">
        <f>+[3]Backup!$J$220</f>
        <v>3306.5401000000138</v>
      </c>
      <c r="G157" s="350">
        <f>+'[2]Inst Capacity YTD Breakdown'!Q19</f>
        <v>824.76209999999992</v>
      </c>
      <c r="H157" s="350">
        <f>+'[2]Inst Capacity YTD Breakdown'!R19</f>
        <v>-2.0659999999999994</v>
      </c>
      <c r="I157" s="351">
        <f t="shared" si="22"/>
        <v>822.69609999999989</v>
      </c>
      <c r="J157" s="298" vm="169">
        <f>+[3]Backup!$J$483</f>
        <v>626.71500000000015</v>
      </c>
      <c r="K157" s="369"/>
      <c r="L157" s="419" t="str">
        <f>+'[2]YTD Additions by Project'!L26</f>
        <v>Monts</v>
      </c>
      <c r="M157" s="419"/>
      <c r="N157" s="419"/>
      <c r="O157" s="562" t="str">
        <f>+'[2]YTD Additions by Project'!O26</f>
        <v>França</v>
      </c>
      <c r="P157" s="419"/>
      <c r="Q157" s="327">
        <f>+'[2]YTD Additions by Project'!N26</f>
        <v>16.84</v>
      </c>
      <c r="S157" s="290"/>
      <c r="T157"/>
      <c r="U157"/>
      <c r="V157"/>
      <c r="W157"/>
    </row>
    <row r="158" spans="1:26" ht="18" customHeight="1" x14ac:dyDescent="0.35">
      <c r="A158" s="120">
        <f t="shared" si="15"/>
        <v>62</v>
      </c>
      <c r="C158" s="421" t="str">
        <f>+IF($K$2="EN",Text!$B$38,Text!$C$38)</f>
        <v>Canadá e México</v>
      </c>
      <c r="D158" s="419"/>
      <c r="E158" s="419"/>
      <c r="F158" s="297">
        <f>+[3]Backup!$J$221+[3]Backup!$J$222</f>
        <v>200</v>
      </c>
      <c r="G158" s="350">
        <f>+SUM('[2]Inst Capacity YTD Breakdown'!Q20:Q21)</f>
        <v>0</v>
      </c>
      <c r="H158" s="350">
        <f>+SUM('[2]Inst Capacity YTD Breakdown'!R20:R21)</f>
        <v>0</v>
      </c>
      <c r="I158" s="351">
        <f t="shared" si="22"/>
        <v>0</v>
      </c>
      <c r="J158" s="298">
        <f>+[3]Backup!$J$484+[3]Backup!$J$485</f>
        <v>0</v>
      </c>
      <c r="K158" s="369"/>
      <c r="L158" s="556" t="str">
        <f>+'[2]YTD Additions by Project'!L27</f>
        <v>Chiaramonte I</v>
      </c>
      <c r="M158" s="419"/>
      <c r="N158" s="419"/>
      <c r="O158" s="562" t="str">
        <f>+'[2]YTD Additions by Project'!O27</f>
        <v>Itália</v>
      </c>
      <c r="P158" s="419"/>
      <c r="Q158" s="327">
        <f>+'[2]YTD Additions by Project'!N27</f>
        <v>23.7</v>
      </c>
      <c r="S158" s="290"/>
      <c r="T158"/>
      <c r="U158"/>
      <c r="V158"/>
      <c r="W158"/>
    </row>
    <row r="159" spans="1:26" ht="18" customHeight="1" x14ac:dyDescent="0.35">
      <c r="A159" s="120">
        <f t="shared" si="15"/>
        <v>63</v>
      </c>
      <c r="B159" s="122"/>
      <c r="C159" s="475" t="str">
        <f>+IF($K$2="EN",Text!$B$34,Text!$C$34)</f>
        <v>América do Norte</v>
      </c>
      <c r="D159" s="515"/>
      <c r="E159" s="515"/>
      <c r="F159" s="528" vm="85">
        <f>+[3]Backup!$J$219</f>
        <v>3506.5401000000084</v>
      </c>
      <c r="G159" s="529">
        <f>+SUM(G157:G158)</f>
        <v>824.76209999999992</v>
      </c>
      <c r="H159" s="529">
        <f>+SUM(H157:H158)</f>
        <v>-2.0659999999999994</v>
      </c>
      <c r="I159" s="530">
        <f t="shared" si="22"/>
        <v>822.69609999999989</v>
      </c>
      <c r="J159" s="539">
        <f>+SUM(J157:J158)</f>
        <v>626.71500000000015</v>
      </c>
      <c r="K159" s="369"/>
      <c r="L159" s="556" t="str">
        <f>+'[2]YTD Additions by Project'!L28</f>
        <v>Chiaramonte II</v>
      </c>
      <c r="M159" s="419"/>
      <c r="N159" s="419"/>
      <c r="O159" s="562" t="str">
        <f>+'[2]YTD Additions by Project'!O28</f>
        <v>Itália</v>
      </c>
      <c r="P159" s="419"/>
      <c r="Q159" s="327">
        <f>+'[2]YTD Additions by Project'!N28</f>
        <v>38.700000000000003</v>
      </c>
      <c r="S159" s="290"/>
      <c r="T159"/>
      <c r="U159"/>
      <c r="V159"/>
      <c r="W159"/>
    </row>
    <row r="160" spans="1:26" ht="18" customHeight="1" x14ac:dyDescent="0.35">
      <c r="A160" s="120">
        <f t="shared" si="15"/>
        <v>64</v>
      </c>
      <c r="B160" s="122"/>
      <c r="C160" s="421" t="str">
        <f>+IF($K$2="EN",Text!$B$41,Text!$C$41)</f>
        <v>Brasil</v>
      </c>
      <c r="D160" s="419"/>
      <c r="E160" s="419"/>
      <c r="F160" s="297" vm="182">
        <f>+[3]Backup!$J$225</f>
        <v>670.41020000000003</v>
      </c>
      <c r="G160" s="350">
        <f>+'[2]Inst Capacity YTD Breakdown'!Q23</f>
        <v>0</v>
      </c>
      <c r="H160" s="350">
        <f>+'[2]Inst Capacity YTD Breakdown'!R23</f>
        <v>0</v>
      </c>
      <c r="I160" s="351">
        <f t="shared" si="22"/>
        <v>0</v>
      </c>
      <c r="J160" s="298">
        <f>+[3]Backup!$J$488</f>
        <v>0</v>
      </c>
      <c r="K160" s="369"/>
      <c r="L160" s="419" t="str">
        <f>+'[2]YTD Additions by Project'!L29</f>
        <v>Ketzin</v>
      </c>
      <c r="M160" s="419"/>
      <c r="N160" s="419"/>
      <c r="O160" s="562" t="str">
        <f>+'[2]YTD Additions by Project'!O29</f>
        <v>Alemanha</v>
      </c>
      <c r="P160" s="419"/>
      <c r="Q160" s="327">
        <f>+'[2]YTD Additions by Project'!N29</f>
        <v>58.078600000000002</v>
      </c>
      <c r="S160" s="290"/>
      <c r="T160" s="356"/>
      <c r="U160"/>
      <c r="V160"/>
      <c r="W160"/>
    </row>
    <row r="161" spans="1:35" ht="18" customHeight="1" x14ac:dyDescent="0.35">
      <c r="A161" s="120">
        <f t="shared" si="15"/>
        <v>65</v>
      </c>
      <c r="B161" s="122"/>
      <c r="C161" s="421" t="str">
        <f>+IF($K$2="EN",Text!$B$44,Text!$C$44)</f>
        <v>Chile</v>
      </c>
      <c r="D161" s="419"/>
      <c r="E161" s="419"/>
      <c r="F161" s="297">
        <v>0</v>
      </c>
      <c r="G161" s="350">
        <f>+'[2]Inst Capacity YTD Breakdown'!Q24</f>
        <v>0</v>
      </c>
      <c r="H161" s="350">
        <f>+'[2]Inst Capacity YTD Breakdown'!R24</f>
        <v>0</v>
      </c>
      <c r="I161" s="351">
        <f t="shared" si="22"/>
        <v>0</v>
      </c>
      <c r="J161" s="298" vm="219">
        <f>+[3]Backup!$J$490</f>
        <v>60</v>
      </c>
      <c r="K161" s="369"/>
      <c r="L161" s="419" t="str">
        <f>+'[2]YTD Additions by Project'!L30</f>
        <v>Meuselwitz</v>
      </c>
      <c r="M161" s="419"/>
      <c r="N161" s="419"/>
      <c r="O161" s="562" t="str">
        <f>+'[2]YTD Additions by Project'!O30</f>
        <v>Alemanha</v>
      </c>
      <c r="P161" s="419"/>
      <c r="Q161" s="327">
        <f>+'[2]YTD Additions by Project'!N30</f>
        <v>47.142899999999997</v>
      </c>
      <c r="S161" s="290"/>
      <c r="T161"/>
      <c r="U161"/>
      <c r="V161"/>
      <c r="W161"/>
    </row>
    <row r="162" spans="1:35" ht="18" customHeight="1" x14ac:dyDescent="0.35">
      <c r="A162" s="120">
        <f t="shared" ref="A162:A187" si="23">A161+1</f>
        <v>66</v>
      </c>
      <c r="C162" s="475" t="str">
        <f>+IF($K$2="EN",Text!$B$40,Text!$C$40)</f>
        <v>América do Sul</v>
      </c>
      <c r="D162" s="515"/>
      <c r="E162" s="515"/>
      <c r="F162" s="528" vm="164">
        <f>+[3]Backup!$J$224</f>
        <v>670.41020000000003</v>
      </c>
      <c r="G162" s="529">
        <f>+G160</f>
        <v>0</v>
      </c>
      <c r="H162" s="529">
        <f>+H160</f>
        <v>0</v>
      </c>
      <c r="I162" s="530">
        <f t="shared" si="22"/>
        <v>0</v>
      </c>
      <c r="J162" s="539">
        <f>+SUM(J160:J161)</f>
        <v>60</v>
      </c>
      <c r="K162" s="369"/>
      <c r="L162" s="419" t="str">
        <f>+'[2]YTD Additions by Project'!L31</f>
        <v>Harrington Franklin BESS</v>
      </c>
      <c r="M162" s="419"/>
      <c r="N162" s="419"/>
      <c r="O162" s="562" t="str">
        <f>+'[2]YTD Additions by Project'!O31</f>
        <v>UK</v>
      </c>
      <c r="P162" s="419"/>
      <c r="Q162" s="327">
        <f>+'[2]YTD Additions by Project'!N31</f>
        <v>50</v>
      </c>
      <c r="R162" s="133"/>
      <c r="S162" s="290"/>
      <c r="T162"/>
      <c r="U162"/>
      <c r="V162"/>
      <c r="W162"/>
    </row>
    <row r="163" spans="1:35" ht="18" customHeight="1" x14ac:dyDescent="0.35">
      <c r="A163" s="120">
        <f t="shared" si="23"/>
        <v>67</v>
      </c>
      <c r="C163" s="421" t="str">
        <f>+IF($K$2="EN",Text!$B$47,Text!$C$47)</f>
        <v>Vietname</v>
      </c>
      <c r="D163" s="419"/>
      <c r="E163" s="419"/>
      <c r="F163" s="297" vm="236">
        <f>+[3]Backup!$J$230</f>
        <v>402.47019999999998</v>
      </c>
      <c r="G163" s="350">
        <f>+'[2]Inst Capacity YTD Breakdown'!Q27</f>
        <v>0</v>
      </c>
      <c r="H163" s="350">
        <f>+'[2]Inst Capacity YTD Breakdown'!R27</f>
        <v>0</v>
      </c>
      <c r="I163" s="351">
        <f t="shared" si="22"/>
        <v>0</v>
      </c>
      <c r="J163" s="298">
        <f>+[3]Backup!$J$493</f>
        <v>0</v>
      </c>
      <c r="K163" s="369"/>
      <c r="L163" s="419" t="str">
        <f>+'[2]YTD Additions by Project'!L32</f>
        <v>Azalea Springs</v>
      </c>
      <c r="M163" s="419"/>
      <c r="N163" s="419"/>
      <c r="O163" s="562" t="str">
        <f>+'[2]YTD Additions by Project'!O32</f>
        <v>EUA</v>
      </c>
      <c r="P163" s="419"/>
      <c r="Q163" s="327">
        <f>+'[2]YTD Additions by Project'!N32</f>
        <v>180</v>
      </c>
      <c r="R163" s="133"/>
      <c r="S163" s="290"/>
      <c r="T163"/>
      <c r="U163"/>
      <c r="V163"/>
      <c r="W163"/>
      <c r="X163"/>
      <c r="Y163"/>
      <c r="Z163"/>
      <c r="AA163"/>
    </row>
    <row r="164" spans="1:35" ht="18" customHeight="1" x14ac:dyDescent="0.35">
      <c r="A164" s="120">
        <f t="shared" si="23"/>
        <v>68</v>
      </c>
      <c r="C164" s="421" t="str">
        <f>+IF($K$2="EN",Text!$B$48,Text!$C$48)</f>
        <v>Singapura</v>
      </c>
      <c r="D164" s="419"/>
      <c r="E164" s="419"/>
      <c r="F164" s="297" vm="157">
        <f>+[3]Backup!$J$231</f>
        <v>440.48570000000029</v>
      </c>
      <c r="G164" s="460">
        <f>+'[2]Inst Capacity YTD Breakdown'!Q28</f>
        <v>86.442000000000007</v>
      </c>
      <c r="H164" s="350">
        <f>+'[2]Inst Capacity YTD Breakdown'!R28</f>
        <v>-8.6216999999999988</v>
      </c>
      <c r="I164" s="351">
        <f t="shared" si="22"/>
        <v>77.820300000000003</v>
      </c>
      <c r="J164" s="298" vm="160">
        <f>+[3]Backup!$J$494</f>
        <v>12.923500000000001</v>
      </c>
      <c r="K164" s="369"/>
      <c r="L164" s="419" t="str">
        <f>+'[2]YTD Additions by Project'!L33</f>
        <v>Pleasantville</v>
      </c>
      <c r="M164" s="419"/>
      <c r="N164" s="419"/>
      <c r="O164" s="562" t="str">
        <f>+'[2]YTD Additions by Project'!O33</f>
        <v>EUA</v>
      </c>
      <c r="P164" s="419"/>
      <c r="Q164" s="327">
        <f>+'[2]YTD Additions by Project'!N33</f>
        <v>150</v>
      </c>
      <c r="S164" s="290"/>
      <c r="T164" s="292"/>
      <c r="U164"/>
      <c r="V164"/>
      <c r="W164"/>
      <c r="X164"/>
      <c r="Y164"/>
      <c r="Z164"/>
      <c r="AA164"/>
    </row>
    <row r="165" spans="1:35" ht="18" customHeight="1" x14ac:dyDescent="0.35">
      <c r="A165" s="120">
        <f t="shared" si="23"/>
        <v>69</v>
      </c>
      <c r="C165" s="421" t="str">
        <f>+IF($K$2="EN",Text!$B$49,Text!$C$49)</f>
        <v>Resto de APAC</v>
      </c>
      <c r="D165" s="419"/>
      <c r="E165" s="419"/>
      <c r="F165" s="297">
        <f>+[3]Backup!$J$232</f>
        <v>302.86650000000003</v>
      </c>
      <c r="G165" s="350">
        <f>+'[2]Inst Capacity YTD Breakdown'!Q29</f>
        <v>53.137100000000004</v>
      </c>
      <c r="H165" s="350">
        <f>+'[2]Inst Capacity YTD Breakdown'!R29</f>
        <v>-6.9320000000000004</v>
      </c>
      <c r="I165" s="351">
        <f t="shared" si="22"/>
        <v>46.205100000000002</v>
      </c>
      <c r="J165" s="298">
        <f>+[3]Backup!$J$495</f>
        <v>21.142699999999998</v>
      </c>
      <c r="K165" s="369"/>
      <c r="L165" s="556" t="str">
        <f>+'[2]YTD Additions by Project'!L34</f>
        <v>Riverstart IV</v>
      </c>
      <c r="M165" s="419"/>
      <c r="N165" s="419"/>
      <c r="O165" s="562" t="str">
        <f>+'[2]YTD Additions by Project'!O34</f>
        <v>EUA</v>
      </c>
      <c r="P165" s="419"/>
      <c r="Q165" s="327">
        <f>+'[2]YTD Additions by Project'!N34</f>
        <v>150</v>
      </c>
      <c r="S165" s="290"/>
      <c r="T165" s="292"/>
      <c r="U165" s="356"/>
      <c r="V165"/>
      <c r="W165"/>
      <c r="X165"/>
      <c r="Y165"/>
      <c r="Z165"/>
      <c r="AA165"/>
    </row>
    <row r="166" spans="1:35" ht="18" customHeight="1" x14ac:dyDescent="0.35">
      <c r="A166" s="120">
        <f t="shared" si="23"/>
        <v>70</v>
      </c>
      <c r="C166" s="478" t="str">
        <f>+IF($K$2="EN",Text!$B$46,Text!$C$46)</f>
        <v>APAC</v>
      </c>
      <c r="D166" s="524"/>
      <c r="E166" s="524"/>
      <c r="F166" s="528" vm="162">
        <f>+[3]Backup!$J$229</f>
        <v>1145.8224</v>
      </c>
      <c r="G166" s="532">
        <f>+SUM(G163:G165)</f>
        <v>139.57910000000001</v>
      </c>
      <c r="H166" s="529">
        <f>+SUM(H163:H165)</f>
        <v>-15.553699999999999</v>
      </c>
      <c r="I166" s="533">
        <f t="shared" si="22"/>
        <v>124.02540000000002</v>
      </c>
      <c r="J166" s="540">
        <f>+SUM(J163:J165)</f>
        <v>34.066199999999995</v>
      </c>
      <c r="K166" s="369"/>
      <c r="L166" s="419" t="str">
        <f>+'[2]YTD Additions by Project'!L35</f>
        <v>Flatland BESS</v>
      </c>
      <c r="M166" s="419"/>
      <c r="N166" s="419"/>
      <c r="O166" s="562" t="str">
        <f>+'[2]YTD Additions by Project'!O35</f>
        <v>EUA</v>
      </c>
      <c r="P166" s="419"/>
      <c r="Q166" s="327">
        <f>+'[2]YTD Additions by Project'!N35</f>
        <v>200</v>
      </c>
      <c r="S166" s="290"/>
      <c r="T166" s="292"/>
      <c r="U166"/>
      <c r="V166"/>
      <c r="W166"/>
    </row>
    <row r="167" spans="1:35" ht="18" customHeight="1" x14ac:dyDescent="0.35">
      <c r="A167" s="120">
        <f t="shared" si="23"/>
        <v>71</v>
      </c>
      <c r="C167" s="535" t="str">
        <f>+IF($K$2="EN",Text!$B$55,Text!$C$55)</f>
        <v>EBITDA MW</v>
      </c>
      <c r="D167" s="535"/>
      <c r="E167" s="535"/>
      <c r="F167" s="536">
        <f>+[3]Backup!$J$202+T167</f>
        <v>6263.914199999992</v>
      </c>
      <c r="G167" s="537">
        <f>+G156+G159+G162+G166</f>
        <v>1291.1426999999999</v>
      </c>
      <c r="H167" s="537">
        <f>+H156+H159+H162+H166</f>
        <v>-546.11570000000006</v>
      </c>
      <c r="I167" s="538">
        <f t="shared" si="22"/>
        <v>745.02699999999982</v>
      </c>
      <c r="J167" s="541">
        <f>+J156+J159+J166+J162</f>
        <v>1035.2312000000002</v>
      </c>
      <c r="K167" s="369"/>
      <c r="L167" s="419" t="str">
        <f>+'[2]YTD Additions by Project'!L36</f>
        <v>Sandrini BESS</v>
      </c>
      <c r="M167" s="419"/>
      <c r="N167" s="419"/>
      <c r="O167" s="562" t="str">
        <f>+'[2]YTD Additions by Project'!O36</f>
        <v>EUA</v>
      </c>
      <c r="P167" s="419"/>
      <c r="Q167" s="327">
        <f>+'[2]YTD Additions by Project'!N36</f>
        <v>92</v>
      </c>
      <c r="S167" s="290"/>
      <c r="T167" s="292"/>
      <c r="U167"/>
      <c r="V167"/>
      <c r="W167"/>
    </row>
    <row r="168" spans="1:35" ht="18" customHeight="1" x14ac:dyDescent="0.35">
      <c r="A168" s="120">
        <f t="shared" si="23"/>
        <v>72</v>
      </c>
      <c r="C168" s="421" t="str">
        <f>+IF($K$2="EN",Text!$B$35,Text!$C$35)</f>
        <v>EUA</v>
      </c>
      <c r="D168" s="419"/>
      <c r="E168" s="419"/>
      <c r="F168" s="297" vm="265">
        <f>+[3]Backup!$J$304</f>
        <v>246.98000000000002</v>
      </c>
      <c r="G168" s="350">
        <f>+'[2]Inst Capacity YTD Breakdown'!Q37</f>
        <v>0</v>
      </c>
      <c r="H168" s="350">
        <f>+'[2]Inst Capacity YTD Breakdown'!R37</f>
        <v>0</v>
      </c>
      <c r="I168" s="351">
        <f t="shared" si="22"/>
        <v>0</v>
      </c>
      <c r="J168" s="298">
        <v>0</v>
      </c>
      <c r="K168" s="369"/>
      <c r="L168" s="419" t="str">
        <f>+'[2]YTD Additions by Project'!L37</f>
        <v>Distributed Solar + DG BESS</v>
      </c>
      <c r="M168" s="419"/>
      <c r="N168" s="419"/>
      <c r="O168" s="562" t="str">
        <f>+'[2]YTD Additions by Project'!O37</f>
        <v>EUA</v>
      </c>
      <c r="P168" s="419"/>
      <c r="Q168" s="327">
        <f>+'[2]YTD Additions by Project'!N37</f>
        <v>52.76209999999999</v>
      </c>
      <c r="S168" s="290"/>
      <c r="T168" s="292"/>
      <c r="U168"/>
      <c r="V168"/>
      <c r="W168"/>
    </row>
    <row r="169" spans="1:35" s="143" customFormat="1" ht="18" customHeight="1" x14ac:dyDescent="0.35">
      <c r="A169" s="120">
        <f t="shared" si="23"/>
        <v>73</v>
      </c>
      <c r="B169" s="121"/>
      <c r="C169" s="475" t="str">
        <f>+IF($K$2="EN",Text!$B$34,Text!$C$34)</f>
        <v>América do Norte</v>
      </c>
      <c r="D169" s="515"/>
      <c r="E169" s="515"/>
      <c r="F169" s="528" vm="85">
        <f>+[3]Backup!$J$303</f>
        <v>246.98000000000002</v>
      </c>
      <c r="G169" s="529">
        <f>+G168</f>
        <v>0</v>
      </c>
      <c r="H169" s="529">
        <f>+H168</f>
        <v>0</v>
      </c>
      <c r="I169" s="530">
        <f t="shared" si="22"/>
        <v>0</v>
      </c>
      <c r="J169" s="542">
        <v>0</v>
      </c>
      <c r="K169" s="369"/>
      <c r="L169" s="419" t="str">
        <f>+'[2]YTD Additions by Project'!L38</f>
        <v>Singapore</v>
      </c>
      <c r="M169" s="419"/>
      <c r="N169" s="419"/>
      <c r="O169" s="562" t="str">
        <f>+'[2]YTD Additions by Project'!O38</f>
        <v>Singapura</v>
      </c>
      <c r="P169" s="419"/>
      <c r="Q169" s="327">
        <f>+'[2]YTD Additions by Project'!N38</f>
        <v>86.442000000000007</v>
      </c>
      <c r="S169" s="290"/>
      <c r="T169" s="292"/>
      <c r="U169"/>
      <c r="V169"/>
      <c r="W169"/>
      <c r="X169" s="121"/>
      <c r="Y169" s="121"/>
      <c r="Z169" s="121"/>
      <c r="AA169" s="121"/>
      <c r="AB169" s="121"/>
      <c r="AC169" s="121"/>
      <c r="AD169" s="121"/>
      <c r="AE169" s="121"/>
      <c r="AF169" s="121"/>
      <c r="AG169" s="121"/>
      <c r="AH169" s="121"/>
      <c r="AI169" s="121"/>
    </row>
    <row r="170" spans="1:35" ht="18" customHeight="1" x14ac:dyDescent="0.35">
      <c r="A170" s="120">
        <f t="shared" si="23"/>
        <v>74</v>
      </c>
      <c r="B170" s="143"/>
      <c r="C170" s="478" t="str">
        <f>+IF($K$2="EN",Text!$B$46,Text!$C$46)</f>
        <v>APAC</v>
      </c>
      <c r="D170" s="524"/>
      <c r="E170" s="524"/>
      <c r="F170" s="550">
        <f>+[3]Backup!$J$309</f>
        <v>5.9178999999999995</v>
      </c>
      <c r="G170" s="532">
        <f>+'[2]Inst Capacity YTD Breakdown'!Q41</f>
        <v>0</v>
      </c>
      <c r="H170" s="551">
        <f>+'[2]Inst Capacity YTD Breakdown'!R41</f>
        <v>-5.2436999999999996</v>
      </c>
      <c r="I170" s="533">
        <f t="shared" si="22"/>
        <v>-5.2436999999999996</v>
      </c>
      <c r="J170" s="540">
        <f>+[3]Backup!$J$411</f>
        <v>0</v>
      </c>
      <c r="K170" s="369"/>
      <c r="L170" s="556" t="str">
        <f>+'[2]YTD Additions by Project'!L39</f>
        <v>Fukushima</v>
      </c>
      <c r="M170" s="419"/>
      <c r="N170" s="419"/>
      <c r="O170" s="562" t="str">
        <f>+'[2]YTD Additions by Project'!O39</f>
        <v>Japão</v>
      </c>
      <c r="P170" s="419"/>
      <c r="Q170" s="327">
        <f>+'[2]YTD Additions by Project'!N39</f>
        <v>35</v>
      </c>
      <c r="S170" s="290"/>
      <c r="T170" s="292"/>
      <c r="U170"/>
      <c r="V170"/>
      <c r="W170"/>
      <c r="X170" s="143"/>
      <c r="Y170" s="143"/>
      <c r="Z170" s="143"/>
      <c r="AA170" s="143"/>
      <c r="AB170" s="143"/>
      <c r="AC170" s="143"/>
      <c r="AD170" s="143"/>
      <c r="AE170" s="143"/>
      <c r="AF170" s="143"/>
      <c r="AG170" s="143"/>
      <c r="AH170" s="143"/>
      <c r="AI170" s="143"/>
    </row>
    <row r="171" spans="1:35" ht="18" customHeight="1" x14ac:dyDescent="0.35">
      <c r="A171" s="120">
        <f t="shared" si="23"/>
        <v>75</v>
      </c>
      <c r="C171" s="535" t="str">
        <f>+IF($K$2="EN",Text!$B$56,Text!$C$56)</f>
        <v>Equiv. Patrimonial</v>
      </c>
      <c r="D171" s="535"/>
      <c r="E171" s="535"/>
      <c r="F171" s="536" vm="218">
        <f>+[3]Backup!$J$286</f>
        <v>252.89790000000002</v>
      </c>
      <c r="G171" s="537">
        <f>+G169+G170</f>
        <v>0</v>
      </c>
      <c r="H171" s="537">
        <f>+H169+H170</f>
        <v>-5.2436999999999996</v>
      </c>
      <c r="I171" s="538">
        <f t="shared" si="22"/>
        <v>-5.2436999999999996</v>
      </c>
      <c r="J171" s="541">
        <f>+J170+J169</f>
        <v>0</v>
      </c>
      <c r="K171" s="369"/>
      <c r="L171" s="419" t="str">
        <f>+'[2]YTD Additions by Project'!L40</f>
        <v>Solar DG</v>
      </c>
      <c r="M171" s="419"/>
      <c r="N171" s="419"/>
      <c r="O171" s="562" t="str">
        <f>+'[2]YTD Additions by Project'!O40</f>
        <v>Resto de APAC</v>
      </c>
      <c r="P171" s="419"/>
      <c r="Q171" s="327">
        <f>+'[2]YTD Additions by Project'!N40</f>
        <v>18.1371</v>
      </c>
      <c r="R171" s="143"/>
      <c r="S171" s="290"/>
      <c r="T171" s="292"/>
      <c r="U171"/>
      <c r="V171"/>
      <c r="W171"/>
    </row>
    <row r="172" spans="1:35" ht="18" customHeight="1" x14ac:dyDescent="0.35">
      <c r="A172" s="120">
        <f t="shared" si="23"/>
        <v>76</v>
      </c>
      <c r="C172" s="480" t="str">
        <f>C37</f>
        <v>EDPR</v>
      </c>
      <c r="D172" s="480"/>
      <c r="E172" s="480"/>
      <c r="F172" s="536">
        <f>+[3]Backup!$J$202+[3]Backup!$J$286</f>
        <v>6516.8120999999919</v>
      </c>
      <c r="G172" s="537">
        <f>+G167+G171</f>
        <v>1291.1426999999999</v>
      </c>
      <c r="H172" s="537">
        <f>+H167+H171</f>
        <v>-551.35940000000005</v>
      </c>
      <c r="I172" s="538">
        <f t="shared" si="22"/>
        <v>739.78329999999983</v>
      </c>
      <c r="J172" s="541">
        <f>+J167+J171</f>
        <v>1035.2312000000002</v>
      </c>
      <c r="K172" s="369"/>
      <c r="L172" s="480" t="str">
        <f>+IF($K$2="EN",Text!$B$17,Text!$C$17)</f>
        <v>Adições de Solar YTD</v>
      </c>
      <c r="M172" s="480"/>
      <c r="N172" s="480"/>
      <c r="O172" s="552"/>
      <c r="P172" s="553"/>
      <c r="Q172" s="546">
        <f>SUM(Q153:Q171)</f>
        <v>1291.1426999999999</v>
      </c>
      <c r="S172" s="365" t="b">
        <f>ROUND(Q172,2)=ROUND(G172,2)</f>
        <v>1</v>
      </c>
      <c r="T172"/>
      <c r="U172"/>
      <c r="V172"/>
      <c r="W172"/>
    </row>
    <row r="173" spans="1:35" ht="18" customHeight="1" x14ac:dyDescent="0.25">
      <c r="A173" s="120">
        <f t="shared" si="23"/>
        <v>77</v>
      </c>
      <c r="B173" s="143"/>
      <c r="C173" s="143"/>
      <c r="D173" s="143"/>
      <c r="E173" s="143"/>
      <c r="F173" s="143"/>
      <c r="G173" s="143"/>
      <c r="H173" s="143"/>
      <c r="I173" s="143"/>
      <c r="J173" s="321"/>
      <c r="T173" s="364"/>
      <c r="U173"/>
      <c r="V173"/>
      <c r="W173"/>
    </row>
    <row r="174" spans="1:35" ht="18" customHeight="1" thickBot="1" x14ac:dyDescent="0.55000000000000004">
      <c r="A174" s="120">
        <f t="shared" si="23"/>
        <v>78</v>
      </c>
      <c r="C174" s="477" t="str">
        <f>+IF($K$2="EN",Text!$B$23,Text!$C$23)</f>
        <v>Eólico Offshore</v>
      </c>
      <c r="D174" s="135"/>
      <c r="E174" s="135"/>
      <c r="F174" s="135"/>
      <c r="G174" s="135"/>
      <c r="H174" s="135"/>
      <c r="I174" s="135"/>
      <c r="J174" s="135"/>
      <c r="L174" s="471" t="str">
        <f>+IF($K$2="EN",Text!$B$15,Text!$C$15)</f>
        <v>Adições de Capacidade YTD</v>
      </c>
      <c r="M174" s="201"/>
      <c r="N174" s="201"/>
      <c r="O174" s="201"/>
      <c r="P174" s="201"/>
      <c r="Q174" s="201"/>
      <c r="S174" s="290"/>
      <c r="T174"/>
      <c r="U174"/>
      <c r="V174"/>
      <c r="W174"/>
    </row>
    <row r="175" spans="1:35" ht="18" customHeight="1" x14ac:dyDescent="0.25">
      <c r="A175" s="120">
        <f t="shared" si="23"/>
        <v>79</v>
      </c>
      <c r="G175" s="131"/>
      <c r="H175" s="481">
        <f>H102</f>
        <v>2025</v>
      </c>
      <c r="I175" s="131"/>
      <c r="L175" s="122"/>
      <c r="M175" s="122"/>
      <c r="N175" s="122"/>
      <c r="O175" s="122"/>
      <c r="P175" s="122"/>
      <c r="Q175" s="122"/>
      <c r="T175"/>
      <c r="U175"/>
      <c r="V175"/>
      <c r="W175"/>
    </row>
    <row r="176" spans="1:35" ht="18" customHeight="1" x14ac:dyDescent="0.25">
      <c r="A176" s="120">
        <f t="shared" si="23"/>
        <v>80</v>
      </c>
      <c r="C176" s="524" t="s">
        <v>9</v>
      </c>
      <c r="D176" s="418"/>
      <c r="E176" s="418"/>
      <c r="F176" s="492">
        <f>+Cur_Period</f>
        <v>2025</v>
      </c>
      <c r="G176" s="481" t="str">
        <f>+IF($K$2="EN",Text!$B$61,Text!$C$61)</f>
        <v>Adições</v>
      </c>
      <c r="H176" s="564" t="str">
        <f>+IF($K$2="EN",Text!$B$62,Text!$C$62)</f>
        <v>RdA/Descom.</v>
      </c>
      <c r="I176" s="481" t="s">
        <v>8</v>
      </c>
      <c r="J176" s="481" t="str">
        <f>+IF($K$2="EN",Text!$B$63,Text!$C$63)</f>
        <v>E/Const.</v>
      </c>
      <c r="L176" s="524" t="str">
        <f>+IF($K$2="EN",Text!$B$53,Text!$C$53)</f>
        <v>Projeto</v>
      </c>
      <c r="M176" s="524"/>
      <c r="N176" s="524"/>
      <c r="O176" s="524" t="str">
        <f>+IF($K$2="EN",Text!$B$54,Text!$C$54)</f>
        <v>País</v>
      </c>
      <c r="P176" s="481"/>
      <c r="Q176" s="549" t="s">
        <v>9</v>
      </c>
      <c r="T176"/>
      <c r="U176"/>
      <c r="V176"/>
      <c r="W176"/>
    </row>
    <row r="177" spans="1:23" ht="18" customHeight="1" x14ac:dyDescent="0.25">
      <c r="A177" s="120">
        <f t="shared" si="23"/>
        <v>81</v>
      </c>
      <c r="C177" s="421" t="str">
        <f>+IF($K$2="EN",Text!$B$29,Text!$C$29)</f>
        <v>Portugal</v>
      </c>
      <c r="D177" s="419"/>
      <c r="E177" s="419"/>
      <c r="F177" s="297" vm="209">
        <f>+[3]Backup!$J$321</f>
        <v>8.2113999999999994</v>
      </c>
      <c r="G177" s="350">
        <f>+'[2]Inst Capacity YTD Breakdown'!X6</f>
        <v>0</v>
      </c>
      <c r="H177" s="350">
        <f>+'[2]Inst Capacity YTD Breakdown'!Y6</f>
        <v>0</v>
      </c>
      <c r="I177" s="351">
        <f>SUM(G177:H177)</f>
        <v>0</v>
      </c>
      <c r="J177" s="298">
        <f>+[3]Backup!$J$509</f>
        <v>0</v>
      </c>
      <c r="K177" s="369"/>
      <c r="L177" s="419" t="str">
        <f>+'[2]YTD Additions by Project'!$C$78</f>
        <v>Noirmoutier</v>
      </c>
      <c r="M177" s="419"/>
      <c r="N177" s="419"/>
      <c r="O177" s="562" t="str">
        <f>+'[2]YTD Additions by Project'!$G$78</f>
        <v>França</v>
      </c>
      <c r="P177" s="419"/>
      <c r="Q177" s="327">
        <f>+'[2]YTD Additions by Project'!$F$78</f>
        <v>120.5</v>
      </c>
      <c r="T177"/>
      <c r="U177"/>
      <c r="V177"/>
      <c r="W177"/>
    </row>
    <row r="178" spans="1:23" ht="18" customHeight="1" x14ac:dyDescent="0.25">
      <c r="A178" s="120">
        <f t="shared" si="23"/>
        <v>82</v>
      </c>
      <c r="C178" s="421" t="str">
        <f>+IF($K$2="EN",Text!$B$31,Text!$C$31)</f>
        <v>França e Bélgica</v>
      </c>
      <c r="D178" s="419"/>
      <c r="E178" s="419"/>
      <c r="F178" s="297">
        <f>+[3]Backup!$J$323+[3]Backup!$J$324</f>
        <v>122.6125</v>
      </c>
      <c r="G178" s="350">
        <f>+'[2]Inst Capacity YTD Breakdown'!X7</f>
        <v>120.5</v>
      </c>
      <c r="H178" s="350">
        <f>+'[2]Inst Capacity YTD Breakdown'!Y7</f>
        <v>-40.5</v>
      </c>
      <c r="I178" s="351">
        <f>SUM(G178:H178)</f>
        <v>80</v>
      </c>
      <c r="J178" s="298">
        <f>+[3]Backup!$J$511+[3]Backup!$J$512</f>
        <v>179.64</v>
      </c>
      <c r="K178" s="369"/>
      <c r="L178" s="419"/>
      <c r="M178" s="419"/>
      <c r="N178" s="419"/>
      <c r="O178" s="448"/>
      <c r="P178" s="419"/>
      <c r="Q178" s="327"/>
      <c r="T178"/>
      <c r="U178"/>
      <c r="V178"/>
      <c r="W178"/>
    </row>
    <row r="179" spans="1:23" ht="18" customHeight="1" x14ac:dyDescent="0.25">
      <c r="A179" s="120">
        <f t="shared" si="23"/>
        <v>83</v>
      </c>
      <c r="C179" s="421" t="str">
        <f>+IF($K$2="EN",Text!$B$32,Text!$C$32)</f>
        <v>Reino Unido</v>
      </c>
      <c r="D179" s="419"/>
      <c r="E179" s="419"/>
      <c r="F179" s="297" vm="210">
        <f>+[3]Backup!$J$326</f>
        <v>608.95000000000005</v>
      </c>
      <c r="G179" s="350">
        <f>+'[2]Inst Capacity YTD Breakdown'!X8</f>
        <v>0</v>
      </c>
      <c r="H179" s="350">
        <f>+'[2]Inst Capacity YTD Breakdown'!Y8</f>
        <v>0</v>
      </c>
      <c r="I179" s="351">
        <f>SUM(G179:H179)</f>
        <v>0</v>
      </c>
      <c r="J179" s="298">
        <f>+[3]Backup!$J$514</f>
        <v>0</v>
      </c>
      <c r="K179" s="369"/>
      <c r="L179" s="419"/>
      <c r="M179" s="419"/>
      <c r="N179" s="419"/>
      <c r="O179" s="448"/>
      <c r="P179" s="419"/>
      <c r="Q179" s="327"/>
      <c r="T179"/>
      <c r="U179"/>
      <c r="V179"/>
      <c r="W179"/>
    </row>
    <row r="180" spans="1:23" ht="18" customHeight="1" x14ac:dyDescent="0.25">
      <c r="A180" s="120">
        <f t="shared" si="23"/>
        <v>84</v>
      </c>
      <c r="C180" s="421" t="str">
        <f>+IF($K$2="EN",Text!$B$33,Text!$C$33)</f>
        <v>Polónia</v>
      </c>
      <c r="D180" s="419"/>
      <c r="E180" s="419"/>
      <c r="F180" s="297">
        <v>0</v>
      </c>
      <c r="G180" s="350">
        <v>0</v>
      </c>
      <c r="H180" s="350">
        <v>0</v>
      </c>
      <c r="I180" s="351">
        <f>SUM(G180:H180)</f>
        <v>0</v>
      </c>
      <c r="J180" s="298" vm="156">
        <f>+[3]Backup!$J$513</f>
        <v>195</v>
      </c>
      <c r="T180"/>
      <c r="U180"/>
      <c r="V180"/>
      <c r="W180"/>
    </row>
    <row r="181" spans="1:23" ht="18" customHeight="1" x14ac:dyDescent="0.25">
      <c r="A181" s="120">
        <f t="shared" si="23"/>
        <v>85</v>
      </c>
      <c r="C181" s="478" t="str">
        <f>+IF($K$2="EN",Text!$B$27,Text!$C$27)</f>
        <v>Europa</v>
      </c>
      <c r="D181" s="524"/>
      <c r="E181" s="524"/>
      <c r="F181" s="531">
        <f>+[3]Backup!$J$320</f>
        <v>739.77390000000003</v>
      </c>
      <c r="G181" s="532">
        <f>SUM(G177:G179)</f>
        <v>120.5</v>
      </c>
      <c r="H181" s="532">
        <f>SUM(H177:H179)</f>
        <v>-40.5</v>
      </c>
      <c r="I181" s="533">
        <f t="shared" ref="I181:I183" si="24">SUM(G181:H181)</f>
        <v>80</v>
      </c>
      <c r="J181" s="540">
        <f>+[3]Backup!$J$508</f>
        <v>374.64</v>
      </c>
      <c r="K181" s="369"/>
      <c r="L181" s="443"/>
      <c r="M181" s="443"/>
      <c r="N181" s="443"/>
      <c r="O181" s="443"/>
      <c r="P181" s="443"/>
      <c r="Q181" s="443"/>
      <c r="T181"/>
      <c r="U181"/>
      <c r="V181"/>
      <c r="W181"/>
    </row>
    <row r="182" spans="1:23" ht="18" customHeight="1" x14ac:dyDescent="0.35">
      <c r="A182" s="120">
        <f t="shared" si="23"/>
        <v>86</v>
      </c>
      <c r="C182" s="535" t="str">
        <f>+IF($K$2="EN",Text!$B$57,Text!$C$57)</f>
        <v>Equiv. Patrimonial EDPR</v>
      </c>
      <c r="D182" s="535"/>
      <c r="E182" s="535"/>
      <c r="F182" s="536" vm="158">
        <f>+[3]Backup!$J$318</f>
        <v>739.77390000000003</v>
      </c>
      <c r="G182" s="537">
        <f>G181</f>
        <v>120.5</v>
      </c>
      <c r="H182" s="537">
        <f>H181</f>
        <v>-40.5</v>
      </c>
      <c r="I182" s="538">
        <f t="shared" si="24"/>
        <v>80</v>
      </c>
      <c r="J182" s="555" vm="178">
        <f>+[3]Backup!$J$506</f>
        <v>374.64</v>
      </c>
      <c r="K182" s="369"/>
      <c r="L182" s="480" t="str">
        <f>+IF($K$2="EN",Text!$B$18,Text!$C$18)</f>
        <v>Adições de Eólico Offshore YTD</v>
      </c>
      <c r="M182" s="480"/>
      <c r="N182" s="480"/>
      <c r="O182" s="552"/>
      <c r="P182" s="553"/>
      <c r="Q182" s="546">
        <f>+Q177</f>
        <v>120.5</v>
      </c>
      <c r="S182" s="365" t="b">
        <f>ROUND(Q182,2)=ROUND(G182,2)</f>
        <v>1</v>
      </c>
      <c r="T182"/>
      <c r="U182"/>
      <c r="V182"/>
      <c r="W182"/>
    </row>
    <row r="183" spans="1:23" ht="18" customHeight="1" x14ac:dyDescent="0.25">
      <c r="A183" s="120">
        <f t="shared" si="23"/>
        <v>87</v>
      </c>
      <c r="C183" s="480" t="str">
        <f>+IF($K$2="EN",Text!$B$59,Text!$C$59)</f>
        <v>Capacidade Total Bruta OW</v>
      </c>
      <c r="D183" s="480"/>
      <c r="E183" s="480"/>
      <c r="F183" s="536">
        <f>+[3]Backup!$J$328</f>
        <v>2744.2</v>
      </c>
      <c r="G183" s="537">
        <f>+Q183</f>
        <v>400</v>
      </c>
      <c r="H183" s="537">
        <v>0</v>
      </c>
      <c r="I183" s="538">
        <f t="shared" si="24"/>
        <v>400</v>
      </c>
      <c r="J183" s="541" vm="204">
        <f>+[3]Backup!$J$522</f>
        <v>1004</v>
      </c>
      <c r="K183" s="369"/>
      <c r="L183" s="480" t="str">
        <f>+IF($K$2="EN",Text!$B$19,Text!$C$19)</f>
        <v>Adições Brutas de Eólico Offshore YTD</v>
      </c>
      <c r="M183" s="480"/>
      <c r="N183" s="480"/>
      <c r="O183" s="552"/>
      <c r="P183" s="553"/>
      <c r="Q183" s="546">
        <f>+[2]OW!$H$13</f>
        <v>400</v>
      </c>
      <c r="T183"/>
      <c r="U183"/>
      <c r="V183"/>
      <c r="W183"/>
    </row>
    <row r="184" spans="1:23" ht="18" customHeight="1" x14ac:dyDescent="0.25">
      <c r="A184" s="120">
        <f t="shared" si="23"/>
        <v>88</v>
      </c>
      <c r="D184" s="143"/>
      <c r="E184" s="143"/>
      <c r="F184" s="143"/>
      <c r="G184" s="143"/>
      <c r="H184" s="143"/>
      <c r="I184" s="143"/>
      <c r="J184" s="143"/>
      <c r="T184"/>
      <c r="U184"/>
      <c r="V184"/>
      <c r="W184"/>
    </row>
    <row r="185" spans="1:23" ht="18" customHeight="1" x14ac:dyDescent="0.25">
      <c r="A185" s="120">
        <f t="shared" si="23"/>
        <v>89</v>
      </c>
      <c r="C185" s="566" t="str">
        <f>+IF($K$2="EN",Text!$B$67,Text!$C$67)</f>
        <v xml:space="preserve">(1) Ajustes de portfólio de Equity. (2) Projeto transferido para a EDP Produção. (3) Ajuste de Equity para EBITDA do ODP 9M25. (4) Adições a considerar 50/61 turbinas instaladas, a restante capacidade será adicionada em 2026. (5) Var. YTD considera o descom. </v>
      </c>
      <c r="T185"/>
      <c r="U185"/>
      <c r="V185"/>
      <c r="W185"/>
    </row>
    <row r="186" spans="1:23" ht="18" customHeight="1" x14ac:dyDescent="0.25">
      <c r="A186" s="120">
        <f t="shared" si="23"/>
        <v>90</v>
      </c>
      <c r="C186" s="566" t="str">
        <f>+IF($K$2="EN",Text!$B$68,Text!$C$68)</f>
        <v>de 33 MW na América do Norte, 9 MW na APAC e de 1 MW na França. Nota: Solar inclui tecnologia Solar PV, DG e Baterias. Capacidade solar e fatores de utilização solares reportados em MWac.</v>
      </c>
      <c r="N186" s="567" t="str">
        <f>+IF($K$2="EN",Text!$B$72,Text!$C$72)</f>
        <v>Relações com Investidores EDPR</v>
      </c>
      <c r="O186" s="567"/>
      <c r="P186" s="567"/>
      <c r="Q186" s="413" t="str">
        <f>+IF($K$2="EN",Text!$B$73,Text!$C$73)</f>
        <v>Telefone: +34 900 830 004</v>
      </c>
      <c r="R186" s="229"/>
      <c r="T186"/>
      <c r="U186"/>
      <c r="V186"/>
      <c r="W186"/>
    </row>
    <row r="187" spans="1:23" ht="18" customHeight="1" x14ac:dyDescent="0.25">
      <c r="A187" s="120">
        <f t="shared" si="23"/>
        <v>91</v>
      </c>
      <c r="C187" s="415" t="str">
        <f>+IF($K$2="EN",Text!$B$76,Text!$C$76)</f>
        <v>EDP Renováveis, S.A. | Sede: Plaza del Fresno, 2 - 33007  Oviedo, Espanha</v>
      </c>
      <c r="O187" s="567" t="str">
        <f>+IF($K$2="EN",Text!$B$75,Text!$C$75)</f>
        <v>Site: www.edpr-investors.com</v>
      </c>
      <c r="P187" s="567"/>
      <c r="Q187" s="413" t="str">
        <f>+IF($K$2="EN",Text!$B$74,Text!$C$74)</f>
        <v>Email: ir@edpr.com</v>
      </c>
      <c r="T187"/>
      <c r="U187"/>
      <c r="V187"/>
      <c r="W187"/>
    </row>
    <row r="188" spans="1:23" ht="18" customHeight="1" x14ac:dyDescent="0.25">
      <c r="T188"/>
      <c r="U188"/>
      <c r="V188"/>
      <c r="W188"/>
    </row>
    <row r="189" spans="1:23" ht="18" customHeight="1" x14ac:dyDescent="0.25">
      <c r="T189"/>
      <c r="U189"/>
      <c r="V189"/>
      <c r="W189"/>
    </row>
    <row r="190" spans="1:23" ht="18" customHeight="1" x14ac:dyDescent="0.25">
      <c r="T190"/>
      <c r="U190"/>
      <c r="V190"/>
      <c r="W190"/>
    </row>
    <row r="191" spans="1:23" ht="18" customHeight="1" x14ac:dyDescent="0.25">
      <c r="T191"/>
      <c r="U191"/>
      <c r="V191"/>
      <c r="W191"/>
    </row>
    <row r="192" spans="1:23" ht="18" customHeight="1" x14ac:dyDescent="0.25">
      <c r="I192" s="133"/>
      <c r="J192" s="133"/>
      <c r="L192" s="133"/>
    </row>
    <row r="193" spans="8:12" ht="18" customHeight="1" x14ac:dyDescent="0.25">
      <c r="H193" s="133"/>
      <c r="I193" s="133"/>
      <c r="J193" s="133"/>
      <c r="K193" s="215"/>
      <c r="L193" s="133"/>
    </row>
    <row r="194" spans="8:12" ht="18" customHeight="1" x14ac:dyDescent="0.25">
      <c r="I194" s="133"/>
      <c r="J194" s="133"/>
      <c r="L194" s="133"/>
    </row>
    <row r="195" spans="8:12" ht="18" customHeight="1" x14ac:dyDescent="0.25">
      <c r="I195" s="133"/>
      <c r="J195" s="133"/>
      <c r="K195" s="216"/>
      <c r="L195" s="133"/>
    </row>
  </sheetData>
  <mergeCells count="19">
    <mergeCell ref="O187:P187"/>
    <mergeCell ref="N95:P95"/>
    <mergeCell ref="Q95:R95"/>
    <mergeCell ref="O96:P96"/>
    <mergeCell ref="L101:Q101"/>
    <mergeCell ref="N109:O111"/>
    <mergeCell ref="N186:P186"/>
    <mergeCell ref="I46:J46"/>
    <mergeCell ref="L79:L80"/>
    <mergeCell ref="K2:K4"/>
    <mergeCell ref="M2:M4"/>
    <mergeCell ref="N2:N4"/>
    <mergeCell ref="L30:Q30"/>
    <mergeCell ref="N37:O39"/>
    <mergeCell ref="N57:O59"/>
    <mergeCell ref="L72:N72"/>
    <mergeCell ref="O72:Q72"/>
    <mergeCell ref="L74:L75"/>
    <mergeCell ref="L77:L78"/>
  </mergeCells>
  <pageMargins left="7.874015748031496E-2" right="0" top="0" bottom="0" header="0" footer="0"/>
  <pageSetup paperSize="7" scale="42" fitToHeight="0" orientation="portrait" r:id="rId1"/>
  <headerFooter scaleWithDoc="0" alignWithMargins="0"/>
  <rowBreaks count="1" manualBreakCount="1">
    <brk id="96" max="16383"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87"/>
  <sheetViews>
    <sheetView showGridLines="0" topLeftCell="A37" zoomScale="115" zoomScaleNormal="115" workbookViewId="0">
      <selection activeCell="I45" sqref="I45:I46"/>
    </sheetView>
  </sheetViews>
  <sheetFormatPr defaultColWidth="9.453125" defaultRowHeight="12.5" x14ac:dyDescent="0.25"/>
  <cols>
    <col min="1" max="1" width="13.453125" style="236" bestFit="1" customWidth="1"/>
    <col min="2" max="2" width="16.453125" style="236" bestFit="1" customWidth="1"/>
    <col min="3" max="4" width="9.453125" style="236" customWidth="1"/>
    <col min="5" max="5" width="10.453125" style="236" bestFit="1" customWidth="1"/>
    <col min="6" max="10" width="9.453125" style="236"/>
    <col min="11" max="11" width="13.453125" style="236" bestFit="1" customWidth="1"/>
    <col min="12" max="12" width="17.453125" style="236" bestFit="1" customWidth="1"/>
    <col min="13" max="16384" width="9.453125" style="236"/>
  </cols>
  <sheetData>
    <row r="2" spans="2:12" s="220" customFormat="1" x14ac:dyDescent="0.25">
      <c r="B2" s="221" t="s">
        <v>56</v>
      </c>
      <c r="C2" s="312"/>
      <c r="D2" s="313" t="s">
        <v>57</v>
      </c>
      <c r="E2" s="312"/>
      <c r="F2" s="312"/>
      <c r="G2" s="312"/>
      <c r="H2" s="312"/>
      <c r="I2" s="312"/>
      <c r="J2" s="312"/>
      <c r="K2" s="312"/>
      <c r="L2" s="312"/>
    </row>
    <row r="3" spans="2:12" ht="13" thickBot="1" x14ac:dyDescent="0.3"/>
    <row r="4" spans="2:12" x14ac:dyDescent="0.25">
      <c r="B4" s="590" t="s">
        <v>56</v>
      </c>
      <c r="C4" s="591"/>
      <c r="D4"/>
      <c r="E4"/>
      <c r="F4"/>
    </row>
    <row r="5" spans="2:12" x14ac:dyDescent="0.25">
      <c r="B5" s="237" t="str">
        <f>+IF(EN!$K$2="EN",Text!$B$46,Text!$C$46)</f>
        <v>APAC</v>
      </c>
      <c r="C5" s="334" t="s">
        <v>58</v>
      </c>
      <c r="D5" t="s">
        <v>59</v>
      </c>
      <c r="E5"/>
      <c r="F5"/>
    </row>
    <row r="6" spans="2:12" x14ac:dyDescent="0.25">
      <c r="B6" s="237" t="str">
        <f>+IF(EN!$K$2="EN",Text!$B$52,Text!$C$52)</f>
        <v>S. America</v>
      </c>
      <c r="C6" s="218">
        <f>[3]Backup!$J$842</f>
        <v>0.94213321387302662</v>
      </c>
      <c r="D6"/>
      <c r="E6"/>
      <c r="F6"/>
    </row>
    <row r="7" spans="2:12" x14ac:dyDescent="0.25">
      <c r="B7" s="237" t="str">
        <f>+IF(EN!$K$2="EN",Text!$B$34,Text!$C$34)</f>
        <v>North America</v>
      </c>
      <c r="C7" s="218">
        <f>[3]Backup!$J$841</f>
        <v>0.95377309612258432</v>
      </c>
      <c r="D7"/>
      <c r="E7"/>
      <c r="F7"/>
      <c r="G7"/>
      <c r="H7"/>
      <c r="I7"/>
      <c r="J7"/>
      <c r="K7"/>
      <c r="L7"/>
    </row>
    <row r="8" spans="2:12" x14ac:dyDescent="0.25">
      <c r="B8" s="237" t="str">
        <f>+IF(EN!$K$2="EN",Text!$B$27,Text!$C$27)</f>
        <v>Europe</v>
      </c>
      <c r="C8" s="218">
        <f>[3]Backup!$J$840</f>
        <v>0.93292847457102335</v>
      </c>
      <c r="D8"/>
      <c r="E8"/>
      <c r="F8"/>
      <c r="G8"/>
      <c r="H8"/>
      <c r="I8"/>
      <c r="J8"/>
      <c r="K8"/>
      <c r="L8"/>
    </row>
    <row r="9" spans="2:12" ht="13" thickBot="1" x14ac:dyDescent="0.3">
      <c r="B9" s="238" t="s">
        <v>32</v>
      </c>
      <c r="C9" s="219">
        <f>[3]Backup!$J$839</f>
        <v>0.94718714126695358</v>
      </c>
      <c r="E9"/>
      <c r="F9"/>
      <c r="G9"/>
      <c r="H9"/>
      <c r="I9"/>
      <c r="J9"/>
      <c r="K9"/>
      <c r="L9"/>
    </row>
    <row r="10" spans="2:12" ht="13" thickBot="1" x14ac:dyDescent="0.3">
      <c r="B10" s="237"/>
      <c r="C10" s="240"/>
      <c r="E10"/>
      <c r="F10"/>
      <c r="G10"/>
      <c r="H10"/>
      <c r="I10"/>
      <c r="J10"/>
      <c r="K10"/>
      <c r="L10"/>
    </row>
    <row r="11" spans="2:12" x14ac:dyDescent="0.25">
      <c r="B11" s="590" t="s">
        <v>60</v>
      </c>
      <c r="C11" s="591"/>
      <c r="E11"/>
      <c r="F11"/>
      <c r="G11"/>
      <c r="H11"/>
      <c r="I11"/>
      <c r="J11"/>
      <c r="K11"/>
      <c r="L11"/>
    </row>
    <row r="12" spans="2:12" x14ac:dyDescent="0.25">
      <c r="B12" s="237" t="str">
        <f>+IF(EN!$K$2="EN",Text!$B$46,Text!$C$46)</f>
        <v>APAC</v>
      </c>
      <c r="C12" s="334" t="s">
        <v>58</v>
      </c>
      <c r="E12"/>
      <c r="F12"/>
      <c r="G12"/>
      <c r="H12"/>
      <c r="I12"/>
      <c r="J12"/>
      <c r="K12"/>
      <c r="L12"/>
    </row>
    <row r="13" spans="2:12" x14ac:dyDescent="0.25">
      <c r="B13" s="237" t="str">
        <f>+IF(EN!$K$2="EN",Text!$B$40,Text!$C$40)</f>
        <v>South America</v>
      </c>
      <c r="C13" s="235">
        <f>C6-1</f>
        <v>-5.786678612697338E-2</v>
      </c>
      <c r="E13"/>
      <c r="F13"/>
      <c r="G13"/>
      <c r="H13"/>
      <c r="I13"/>
      <c r="J13"/>
      <c r="K13"/>
      <c r="L13"/>
    </row>
    <row r="14" spans="2:12" x14ac:dyDescent="0.25">
      <c r="B14" s="237" t="str">
        <f>+IF(EN!$K$2="EN",Text!$B$34,Text!$C$34)</f>
        <v>North America</v>
      </c>
      <c r="C14" s="235">
        <f>C7-1</f>
        <v>-4.6226903877415682E-2</v>
      </c>
      <c r="E14"/>
      <c r="F14"/>
      <c r="G14"/>
      <c r="H14"/>
      <c r="I14"/>
      <c r="J14"/>
      <c r="K14"/>
      <c r="L14"/>
    </row>
    <row r="15" spans="2:12" x14ac:dyDescent="0.25">
      <c r="B15" s="237" t="str">
        <f>+IF(EN!$K$2="EN",Text!$B$27,Text!$C$27)</f>
        <v>Europe</v>
      </c>
      <c r="C15" s="235">
        <f>C8-1</f>
        <v>-6.7071525428976653E-2</v>
      </c>
      <c r="E15"/>
      <c r="F15"/>
      <c r="G15"/>
      <c r="H15"/>
      <c r="I15"/>
      <c r="J15"/>
      <c r="K15"/>
      <c r="L15"/>
    </row>
    <row r="16" spans="2:12" ht="13" thickBot="1" x14ac:dyDescent="0.3">
      <c r="B16" s="238" t="s">
        <v>32</v>
      </c>
      <c r="C16" s="239">
        <f>C9-1</f>
        <v>-5.2812858733046419E-2</v>
      </c>
      <c r="E16"/>
      <c r="F16"/>
      <c r="G16"/>
      <c r="H16"/>
      <c r="I16"/>
      <c r="J16"/>
      <c r="K16"/>
      <c r="L16"/>
    </row>
    <row r="18" spans="1:6" s="220" customFormat="1" x14ac:dyDescent="0.25">
      <c r="A18" s="312"/>
      <c r="B18" s="221" t="str">
        <f>+IF(EN!$K$2="EN",Text!$B$8,Text!$C$8)</f>
        <v>Installed Capacity by Region</v>
      </c>
      <c r="C18" s="312"/>
      <c r="D18" s="312"/>
      <c r="E18" s="312"/>
      <c r="F18" s="312"/>
    </row>
    <row r="19" spans="1:6" ht="13" thickBot="1" x14ac:dyDescent="0.3"/>
    <row r="20" spans="1:6" x14ac:dyDescent="0.25">
      <c r="B20" s="590" t="s">
        <v>61</v>
      </c>
      <c r="C20" s="591"/>
    </row>
    <row r="21" spans="1:6" x14ac:dyDescent="0.25">
      <c r="B21" s="237" t="str">
        <f>+IF(EN!$K$2="EN",Text!$B$27,Text!$C$27)</f>
        <v>Europe</v>
      </c>
      <c r="C21" s="241">
        <f>EN!$F$33</f>
        <v>6604.0354000000007</v>
      </c>
    </row>
    <row r="22" spans="1:6" x14ac:dyDescent="0.25">
      <c r="B22" s="237" t="str">
        <f>+IF(EN!$K$2="EN",Text!$B$34,Text!$C$34)</f>
        <v>North America</v>
      </c>
      <c r="C22" s="241">
        <f>EN!$F$34</f>
        <v>10809.372100000015</v>
      </c>
    </row>
    <row r="23" spans="1:6" x14ac:dyDescent="0.25">
      <c r="B23" s="237" t="str">
        <f>+IF(EN!$K$2="EN",Text!$B$40,Text!$C$40)</f>
        <v>South America</v>
      </c>
      <c r="C23" s="241">
        <f>EN!$F$35</f>
        <v>1825.8102000000001</v>
      </c>
    </row>
    <row r="24" spans="1:6" x14ac:dyDescent="0.25">
      <c r="B24" s="237" t="str">
        <f>+IF(EN!$K$2="EN",Text!$B$46,Text!$C$46)</f>
        <v>APAC</v>
      </c>
      <c r="C24" s="241">
        <f>EN!$F$36</f>
        <v>1151.7403000000002</v>
      </c>
      <c r="D24" s="271" t="s">
        <v>10</v>
      </c>
    </row>
    <row r="25" spans="1:6" ht="13" thickBot="1" x14ac:dyDescent="0.3">
      <c r="B25" s="238" t="s">
        <v>32</v>
      </c>
      <c r="C25" s="242">
        <f>EN!$F$37</f>
        <v>20390.958000000017</v>
      </c>
      <c r="D25" s="270">
        <f>C25/1000</f>
        <v>20.390958000000015</v>
      </c>
      <c r="E25" s="271" t="str">
        <f>TEXT(D25,"##.0")</f>
        <v>20.4</v>
      </c>
      <c r="F25" s="271" t="str">
        <f>TEXT(D25,"###,0")</f>
        <v>20</v>
      </c>
    </row>
    <row r="26" spans="1:6" ht="13" thickBot="1" x14ac:dyDescent="0.3">
      <c r="B26" s="237"/>
      <c r="C26" s="240"/>
    </row>
    <row r="27" spans="1:6" x14ac:dyDescent="0.25">
      <c r="B27" s="590" t="s">
        <v>61</v>
      </c>
      <c r="C27" s="591"/>
    </row>
    <row r="28" spans="1:6" x14ac:dyDescent="0.25">
      <c r="A28" s="236" t="s">
        <v>62</v>
      </c>
      <c r="B28" s="237" t="str">
        <f>+IF(EN!$K$2="EN",Text!$B$27,Text!$C$27)</f>
        <v>Europe</v>
      </c>
      <c r="C28" s="235">
        <f>C21/$C$25</f>
        <v>0.32387077644905132</v>
      </c>
      <c r="D28" s="243"/>
    </row>
    <row r="29" spans="1:6" x14ac:dyDescent="0.25">
      <c r="A29" s="236" t="s">
        <v>63</v>
      </c>
      <c r="B29" s="237" t="str">
        <f>+IF(EN!$K$2="EN",Text!$B$34,Text!$C$34)</f>
        <v>North America</v>
      </c>
      <c r="C29" s="235">
        <f>C22/$C$25</f>
        <v>0.53010614312481086</v>
      </c>
      <c r="D29" s="243"/>
    </row>
    <row r="30" spans="1:6" x14ac:dyDescent="0.25">
      <c r="A30" s="236" t="s">
        <v>64</v>
      </c>
      <c r="B30" s="237" t="str">
        <f>+IF(EN!$K$2="EN",Text!$B$40,Text!$C$40)</f>
        <v>South America</v>
      </c>
      <c r="C30" s="235">
        <f>C23/$C$25</f>
        <v>8.9540187371284788E-2</v>
      </c>
      <c r="D30" s="243"/>
    </row>
    <row r="31" spans="1:6" x14ac:dyDescent="0.25">
      <c r="A31" s="236" t="s">
        <v>18</v>
      </c>
      <c r="B31" s="237" t="str">
        <f>+IF(EN!$K$2="EN",Text!$B$46,Text!$C$46)</f>
        <v>APAC</v>
      </c>
      <c r="C31" s="235">
        <f>C24/$C$25</f>
        <v>5.6482893054852996E-2</v>
      </c>
      <c r="D31" s="243"/>
    </row>
    <row r="32" spans="1:6" ht="13" thickBot="1" x14ac:dyDescent="0.3">
      <c r="B32" s="238" t="s">
        <v>32</v>
      </c>
      <c r="C32" s="239">
        <f>C25/$C$25</f>
        <v>1</v>
      </c>
    </row>
    <row r="33" spans="1:12" x14ac:dyDescent="0.25">
      <c r="B33" s="244"/>
      <c r="C33" s="245"/>
    </row>
    <row r="34" spans="1:12" s="220" customFormat="1" x14ac:dyDescent="0.25">
      <c r="A34" s="312"/>
      <c r="B34" s="221" t="str">
        <f>+IF(EN!$K$2="EN",Text!$B$10,Text!$C$10)</f>
        <v>Generation by Region and Technology</v>
      </c>
      <c r="C34" s="312"/>
      <c r="D34" s="312"/>
      <c r="E34" s="312"/>
      <c r="F34" s="312"/>
      <c r="G34" s="312"/>
      <c r="H34" s="312"/>
      <c r="I34" s="312"/>
      <c r="J34" s="312"/>
      <c r="K34" s="312"/>
      <c r="L34" s="312"/>
    </row>
    <row r="35" spans="1:12" ht="13" thickBot="1" x14ac:dyDescent="0.3"/>
    <row r="36" spans="1:12" x14ac:dyDescent="0.25">
      <c r="B36" s="590" t="s">
        <v>61</v>
      </c>
      <c r="C36" s="591"/>
      <c r="H36" s="590" t="s">
        <v>65</v>
      </c>
      <c r="I36" s="591"/>
    </row>
    <row r="37" spans="1:12" x14ac:dyDescent="0.25">
      <c r="B37" s="237" t="str">
        <f>+IF(EN!$K$2="EN",Text!$B$27,Text!$C$27)</f>
        <v>Europe</v>
      </c>
      <c r="C37" s="381">
        <f>+[3]Backup!$J$859</f>
        <v>11545.454517500002</v>
      </c>
      <c r="H37" s="237" t="str">
        <f>+IF(EN!$K$2="EN",Text!$B$21,Text!$C$21)</f>
        <v>Onshore Wind</v>
      </c>
      <c r="I37" s="328">
        <f>+EN!$G$49</f>
        <v>30806.695566399998</v>
      </c>
    </row>
    <row r="38" spans="1:12" x14ac:dyDescent="0.25">
      <c r="B38" s="237" t="str">
        <f>+IF(EN!$K$2="EN",Text!$B$34,Text!$C$34)</f>
        <v>North America</v>
      </c>
      <c r="C38" s="381">
        <f>+[3]Backup!$J$879</f>
        <v>23346.764384100003</v>
      </c>
      <c r="H38" s="237" t="str">
        <f>+IF(EN!$K$2="EN",Text!$B$24,Text!$C$24)</f>
        <v>Solar Utility Scale</v>
      </c>
      <c r="I38" s="328">
        <f>+EN!$G$56</f>
        <v>8663.7891256999992</v>
      </c>
    </row>
    <row r="39" spans="1:12" x14ac:dyDescent="0.25">
      <c r="B39" s="237" t="str">
        <f>+IF(EN!$K$2="EN",Text!$B$40,Text!$C$40)</f>
        <v>South America</v>
      </c>
      <c r="C39" s="381">
        <f>+[3]Backup!$J$884</f>
        <v>4184.3642978999997</v>
      </c>
      <c r="H39" s="237" t="str">
        <f>+IF(EN!$K$2="EN",Text!$B$25,Text!$C$25)</f>
        <v>Solar DG</v>
      </c>
      <c r="I39" s="328">
        <f>+EN!$G$61</f>
        <v>1133.2889373999999</v>
      </c>
    </row>
    <row r="40" spans="1:12" x14ac:dyDescent="0.25">
      <c r="B40" s="237" t="str">
        <f>+IF(EN!$K$2="EN",Text!$B$46,Text!$C$46)</f>
        <v>APAC</v>
      </c>
      <c r="C40" s="381">
        <f>+[3]Backup!$J$889</f>
        <v>1527.1904300000006</v>
      </c>
      <c r="D40" s="271" t="s">
        <v>11</v>
      </c>
      <c r="H40" s="237"/>
      <c r="I40" s="328"/>
      <c r="J40" s="271" t="s">
        <v>11</v>
      </c>
    </row>
    <row r="41" spans="1:12" ht="13" thickBot="1" x14ac:dyDescent="0.3">
      <c r="B41" s="238" t="s">
        <v>32</v>
      </c>
      <c r="C41" s="242">
        <f>EN!$G$64</f>
        <v>40603.7736295</v>
      </c>
      <c r="D41" s="270">
        <f>C41/1000</f>
        <v>40.603773629499997</v>
      </c>
      <c r="E41" s="271" t="str">
        <f>TEXT(D41,"##.0")</f>
        <v>40.6</v>
      </c>
      <c r="F41" s="271" t="str">
        <f>TEXT(D41,"##,0")</f>
        <v>41</v>
      </c>
      <c r="H41" s="238" t="s">
        <v>32</v>
      </c>
      <c r="I41" s="329">
        <f>EN!$G$64</f>
        <v>40603.7736295</v>
      </c>
      <c r="J41" s="270">
        <f>I41/1000</f>
        <v>40.603773629499997</v>
      </c>
      <c r="K41" s="271" t="str">
        <f>TEXT(J41,"##.0")</f>
        <v>40.6</v>
      </c>
      <c r="L41" s="271" t="str">
        <f>TEXT(J41,"##,0")</f>
        <v>41</v>
      </c>
    </row>
    <row r="42" spans="1:12" ht="13" thickBot="1" x14ac:dyDescent="0.3">
      <c r="B42" s="237"/>
      <c r="C42" s="240"/>
      <c r="H42" s="237"/>
      <c r="I42" s="240"/>
    </row>
    <row r="43" spans="1:12" x14ac:dyDescent="0.25">
      <c r="B43" s="590" t="s">
        <v>61</v>
      </c>
      <c r="C43" s="591"/>
      <c r="H43" s="590" t="s">
        <v>65</v>
      </c>
      <c r="I43" s="591"/>
    </row>
    <row r="44" spans="1:12" x14ac:dyDescent="0.25">
      <c r="A44" s="236" t="s">
        <v>62</v>
      </c>
      <c r="B44" s="237" t="str">
        <f>+IF(EN!$K$2="EN",Text!$B$27,Text!$C$27)</f>
        <v>Europe</v>
      </c>
      <c r="C44" s="235">
        <f>C37/$C$41</f>
        <v>0.28434437209825847</v>
      </c>
      <c r="G44" s="236" t="s">
        <v>66</v>
      </c>
      <c r="H44" s="237" t="str">
        <f>+IF(EN!$K$2="EN",Text!$B$21,Text!$C$21)</f>
        <v>Onshore Wind</v>
      </c>
      <c r="I44" s="330">
        <f>I37/$I$41</f>
        <v>0.75871508514218255</v>
      </c>
      <c r="J44" s="368">
        <f>I37/$I$41</f>
        <v>0.75871508514218255</v>
      </c>
    </row>
    <row r="45" spans="1:12" x14ac:dyDescent="0.25">
      <c r="A45" s="236" t="s">
        <v>63</v>
      </c>
      <c r="B45" s="237" t="str">
        <f>+IF(EN!$K$2="EN",Text!$B$34,Text!$C$34)</f>
        <v>North America</v>
      </c>
      <c r="C45" s="235">
        <f>C38/$C$41</f>
        <v>0.57499001440441977</v>
      </c>
      <c r="G45" s="236" t="s">
        <v>67</v>
      </c>
      <c r="H45" s="237" t="str">
        <f>+IF(EN!$K$2="EN",Text!$B$24,Text!$C$24)</f>
        <v>Solar Utility Scale</v>
      </c>
      <c r="I45" s="330">
        <f t="shared" ref="I45:I46" si="0">I38/$I$41</f>
        <v>0.21337398845622238</v>
      </c>
      <c r="J45" s="368">
        <f t="shared" ref="J45:J46" si="1">I38/$I$41</f>
        <v>0.21337398845622238</v>
      </c>
    </row>
    <row r="46" spans="1:12" x14ac:dyDescent="0.25">
      <c r="A46" s="236" t="s">
        <v>64</v>
      </c>
      <c r="B46" s="237" t="str">
        <f>+IF(EN!$K$2="EN",Text!$B$40,Text!$C$40)</f>
        <v>South America</v>
      </c>
      <c r="C46" s="235">
        <f>C39/$C$41</f>
        <v>0.10305358157301713</v>
      </c>
      <c r="G46" s="236" t="s">
        <v>24</v>
      </c>
      <c r="H46" s="237" t="str">
        <f>+IF(EN!$K$2="EN",Text!$B$25,Text!$C$25)</f>
        <v>Solar DG</v>
      </c>
      <c r="I46" s="330">
        <f t="shared" si="0"/>
        <v>2.7910926401595038E-2</v>
      </c>
      <c r="J46" s="368">
        <f t="shared" si="1"/>
        <v>2.7910926401595038E-2</v>
      </c>
    </row>
    <row r="47" spans="1:12" x14ac:dyDescent="0.25">
      <c r="A47" s="236" t="s">
        <v>18</v>
      </c>
      <c r="B47" s="237" t="str">
        <f>+IF(EN!$K$2="EN",Text!$B$46,Text!$C$46)</f>
        <v>APAC</v>
      </c>
      <c r="C47" s="235">
        <f>C40/$C$41</f>
        <v>3.7612031924304831E-2</v>
      </c>
      <c r="H47" s="237"/>
      <c r="I47" s="330"/>
    </row>
    <row r="48" spans="1:12" ht="13" thickBot="1" x14ac:dyDescent="0.3">
      <c r="B48" s="238" t="s">
        <v>32</v>
      </c>
      <c r="C48" s="239">
        <f>C41/$C$41</f>
        <v>1</v>
      </c>
      <c r="H48" s="238" t="s">
        <v>32</v>
      </c>
      <c r="I48" s="331">
        <f>I41/$C$41</f>
        <v>1</v>
      </c>
    </row>
    <row r="49" spans="1:14" x14ac:dyDescent="0.25">
      <c r="B49" s="244"/>
      <c r="C49" s="245"/>
    </row>
    <row r="50" spans="1:14" s="220" customFormat="1" x14ac:dyDescent="0.25">
      <c r="A50" s="312"/>
      <c r="B50" s="221" t="str">
        <f>+IF(EN!$K$2="EN",Text!$B$14,Text!$C$14)</f>
        <v>Installed Capacity by Technology</v>
      </c>
      <c r="C50" s="312"/>
      <c r="D50" s="312"/>
      <c r="E50" s="312"/>
      <c r="F50" s="312"/>
      <c r="G50" s="312"/>
      <c r="H50" s="312"/>
      <c r="I50" s="312"/>
      <c r="J50" s="312"/>
      <c r="K50" s="312"/>
      <c r="L50" s="312"/>
      <c r="M50" s="312"/>
      <c r="N50" s="312"/>
    </row>
    <row r="51" spans="1:14" ht="13" thickBot="1" x14ac:dyDescent="0.3"/>
    <row r="52" spans="1:14" x14ac:dyDescent="0.25">
      <c r="B52" s="301" t="s">
        <v>68</v>
      </c>
      <c r="C52" s="299">
        <f>EN!Cur_Period</f>
        <v>2025</v>
      </c>
      <c r="D52" s="299">
        <f>EN!Pre_Period</f>
        <v>2024</v>
      </c>
      <c r="E52" s="300" t="s">
        <v>13</v>
      </c>
      <c r="G52"/>
      <c r="H52"/>
      <c r="I52"/>
      <c r="J52"/>
      <c r="K52"/>
    </row>
    <row r="53" spans="1:14" x14ac:dyDescent="0.25">
      <c r="B53" s="237" t="str">
        <f>+IF(EN!$K$2="EN",Text!$B$21,Text!$C$21)</f>
        <v>Onshore Wind</v>
      </c>
      <c r="C53" s="361" vm="330">
        <f>+EN!F38</f>
        <v>13134.372000000001</v>
      </c>
      <c r="D53" s="361" vm="294">
        <f>+EN!G38</f>
        <v>12878.589499999998</v>
      </c>
      <c r="E53" s="307">
        <f>+ROUND(C53/D53-1,2)</f>
        <v>0.02</v>
      </c>
      <c r="G53"/>
      <c r="H53"/>
      <c r="I53"/>
      <c r="J53"/>
      <c r="K53"/>
    </row>
    <row r="54" spans="1:14" x14ac:dyDescent="0.25">
      <c r="B54" s="237" t="str">
        <f>+IF(EN!$K$2="EN",Text!$B$24,Text!$C$24)</f>
        <v>Solar Utility Scale</v>
      </c>
      <c r="C54" s="361" vm="78">
        <f>+EN!F39</f>
        <v>4943.4261999999962</v>
      </c>
      <c r="D54" s="361" vm="285">
        <f>+EN!G39</f>
        <v>4671.0056999999997</v>
      </c>
      <c r="E54" s="307">
        <f t="shared" ref="E54:E56" si="2">+ROUND(C54/D54-1,2)</f>
        <v>0.06</v>
      </c>
      <c r="G54"/>
      <c r="H54"/>
      <c r="I54"/>
      <c r="J54"/>
      <c r="K54"/>
    </row>
    <row r="55" spans="1:14" x14ac:dyDescent="0.25">
      <c r="B55" s="237" t="str">
        <f>+IF(EN!$K$2="EN",Text!$B$23,Text!$C$23)</f>
        <v>Offshore Wind</v>
      </c>
      <c r="C55" s="361" vm="326">
        <f>+EN!F42</f>
        <v>739.77390000000003</v>
      </c>
      <c r="D55" s="361" vm="292">
        <f>+EN!G42</f>
        <v>659.77390000000003</v>
      </c>
      <c r="E55" s="307">
        <f t="shared" si="2"/>
        <v>0.12</v>
      </c>
      <c r="G55"/>
      <c r="H55"/>
      <c r="I55"/>
      <c r="J55"/>
      <c r="K55"/>
    </row>
    <row r="56" spans="1:14" x14ac:dyDescent="0.25">
      <c r="B56" s="237" t="str">
        <f>+IF(EN!$K$2="EN",Text!$B$25,Text!$C$25)</f>
        <v>Solar DG</v>
      </c>
      <c r="C56" s="361" vm="325">
        <f>+EN!F40</f>
        <v>1023.3308000000003</v>
      </c>
      <c r="D56" s="361" vm="279">
        <f>+EN!G40</f>
        <v>899.48709999999858</v>
      </c>
      <c r="E56" s="307">
        <f t="shared" si="2"/>
        <v>0.14000000000000001</v>
      </c>
      <c r="F56" s="247"/>
      <c r="G56"/>
      <c r="H56"/>
      <c r="I56"/>
      <c r="J56"/>
      <c r="K56"/>
      <c r="L56"/>
      <c r="M56"/>
    </row>
    <row r="57" spans="1:14" x14ac:dyDescent="0.25">
      <c r="B57" s="237" t="s">
        <v>25</v>
      </c>
      <c r="C57" s="361" vm="119">
        <f>+EN!F41</f>
        <v>550.05499999999995</v>
      </c>
      <c r="D57" s="361" vm="290">
        <f>+EN!G41</f>
        <v>206.536</v>
      </c>
      <c r="E57" s="307">
        <f>+IF(ROUND(C57/D57-1,2)&gt;2,"-",ROUND(C57/D57-1,2))</f>
        <v>1.66</v>
      </c>
      <c r="F57" s="368">
        <f>+C57/D57-1</f>
        <v>1.6632403067746058</v>
      </c>
      <c r="G57"/>
      <c r="H57"/>
      <c r="I57"/>
      <c r="J57"/>
      <c r="K57"/>
      <c r="L57"/>
      <c r="M57"/>
    </row>
    <row r="58" spans="1:14" ht="13" thickBot="1" x14ac:dyDescent="0.3">
      <c r="B58" s="238" t="s">
        <v>32</v>
      </c>
      <c r="C58" s="362">
        <f>EN!F37</f>
        <v>20390.958000000017</v>
      </c>
      <c r="D58" s="362">
        <f>+EN!G37</f>
        <v>19315.39240000003</v>
      </c>
      <c r="E58" s="308">
        <f t="shared" ref="E58" si="3">+C58/D58-1</f>
        <v>5.5684377398410367E-2</v>
      </c>
      <c r="G58"/>
      <c r="H58"/>
      <c r="I58"/>
      <c r="J58"/>
      <c r="K58"/>
      <c r="L58" s="305"/>
      <c r="M58"/>
    </row>
    <row r="59" spans="1:14" ht="13" thickBot="1" x14ac:dyDescent="0.3">
      <c r="B59" s="237"/>
      <c r="C59" s="240"/>
      <c r="G59"/>
      <c r="H59"/>
      <c r="I59"/>
      <c r="J59"/>
      <c r="K59"/>
      <c r="L59"/>
      <c r="M59"/>
    </row>
    <row r="60" spans="1:14" x14ac:dyDescent="0.25">
      <c r="B60" s="301" t="s">
        <v>68</v>
      </c>
      <c r="C60" s="302"/>
      <c r="G60"/>
      <c r="H60"/>
      <c r="I60"/>
      <c r="J60"/>
      <c r="K60"/>
      <c r="L60"/>
      <c r="M60"/>
      <c r="N60"/>
    </row>
    <row r="61" spans="1:14" x14ac:dyDescent="0.25">
      <c r="A61" s="236" t="s">
        <v>66</v>
      </c>
      <c r="B61" s="237" t="str">
        <f>+IF(EN!$K$2="EN",Text!$B$21,Text!$C$21)</f>
        <v>Onshore Wind</v>
      </c>
      <c r="C61" s="235">
        <f>C53/$C$58</f>
        <v>0.64412726464347536</v>
      </c>
      <c r="D61" s="243"/>
      <c r="G61"/>
      <c r="H61"/>
      <c r="I61"/>
      <c r="J61"/>
      <c r="K61"/>
      <c r="L61"/>
      <c r="M61"/>
    </row>
    <row r="62" spans="1:14" x14ac:dyDescent="0.25">
      <c r="A62" s="236" t="s">
        <v>67</v>
      </c>
      <c r="B62" s="237" t="str">
        <f>+IF(EN!$K$2="EN",Text!$B$24,Text!$C$24)</f>
        <v>Solar Utility Scale</v>
      </c>
      <c r="C62" s="235">
        <f>C54/$C$58</f>
        <v>0.24243226826321707</v>
      </c>
      <c r="D62" s="243"/>
      <c r="G62"/>
      <c r="H62"/>
      <c r="I62"/>
      <c r="J62"/>
      <c r="K62"/>
      <c r="L62"/>
      <c r="M62"/>
    </row>
    <row r="63" spans="1:14" x14ac:dyDescent="0.25">
      <c r="A63" s="236" t="s">
        <v>24</v>
      </c>
      <c r="B63" s="237" t="str">
        <f>+IF(EN!$K$2="EN",Text!$B$25,Text!$C$25)</f>
        <v>Solar DG</v>
      </c>
      <c r="C63" s="235">
        <f>C56/$C$58</f>
        <v>5.0185518502857955E-2</v>
      </c>
      <c r="D63" s="243"/>
      <c r="G63"/>
      <c r="H63"/>
      <c r="I63"/>
      <c r="J63"/>
      <c r="K63"/>
      <c r="L63"/>
      <c r="M63"/>
    </row>
    <row r="64" spans="1:14" x14ac:dyDescent="0.25">
      <c r="A64" s="236" t="s">
        <v>69</v>
      </c>
      <c r="B64" s="237" t="str">
        <f>+IF(EN!$K$2="EN",Text!$B$23,Text!$C$23)</f>
        <v>Offshore Wind</v>
      </c>
      <c r="C64" s="235">
        <f>C55/$C$58</f>
        <v>3.6279506828467763E-2</v>
      </c>
      <c r="D64" s="243"/>
      <c r="E64"/>
      <c r="F64"/>
      <c r="G64"/>
      <c r="H64"/>
      <c r="I64"/>
      <c r="J64"/>
      <c r="K64"/>
      <c r="L64"/>
      <c r="M64"/>
    </row>
    <row r="65" spans="1:13" x14ac:dyDescent="0.25">
      <c r="A65" s="236" t="s">
        <v>70</v>
      </c>
      <c r="B65" s="237" t="str">
        <f>+IF(EN!$K$2="EN",Text!$B$26,Text!$C$26)</f>
        <v>BESS</v>
      </c>
      <c r="C65" s="335">
        <f>C57/$C$58</f>
        <v>2.6975436857846476E-2</v>
      </c>
      <c r="D65" s="243"/>
      <c r="E65"/>
      <c r="F65"/>
      <c r="G65"/>
      <c r="H65"/>
      <c r="I65"/>
      <c r="J65"/>
      <c r="K65"/>
      <c r="L65"/>
      <c r="M65"/>
    </row>
    <row r="66" spans="1:13" ht="13" thickBot="1" x14ac:dyDescent="0.3">
      <c r="B66" s="238" t="s">
        <v>32</v>
      </c>
      <c r="C66" s="239">
        <f>C58/$C$58</f>
        <v>1</v>
      </c>
    </row>
    <row r="68" spans="1:13" s="220" customFormat="1" x14ac:dyDescent="0.25">
      <c r="A68" s="312"/>
      <c r="B68" s="221" t="s">
        <v>71</v>
      </c>
      <c r="C68" s="312"/>
      <c r="D68" s="312"/>
      <c r="E68" s="312"/>
      <c r="F68" s="312"/>
      <c r="G68" s="312"/>
      <c r="H68" s="312"/>
      <c r="I68" s="312"/>
      <c r="J68" s="312"/>
      <c r="K68" s="312"/>
      <c r="L68" s="312"/>
      <c r="M68" s="312"/>
    </row>
    <row r="69" spans="1:13" ht="13" thickBot="1" x14ac:dyDescent="0.3"/>
    <row r="70" spans="1:13" x14ac:dyDescent="0.25">
      <c r="B70" s="590" t="s">
        <v>71</v>
      </c>
      <c r="C70" s="591"/>
    </row>
    <row r="71" spans="1:13" x14ac:dyDescent="0.25">
      <c r="B71" s="237" t="str">
        <f>+IF(EN!$K$2="EN",Text!$B$40,Text!$C$40)</f>
        <v>South America</v>
      </c>
      <c r="C71" s="235" vm="348">
        <f>+EN!F87</f>
        <v>0.30273242222756419</v>
      </c>
    </row>
    <row r="72" spans="1:13" x14ac:dyDescent="0.25">
      <c r="B72" s="237" t="str">
        <f>+IF(EN!$K$2="EN",Text!$B$34,Text!$C$34)</f>
        <v>North America</v>
      </c>
      <c r="C72" s="235" vm="83">
        <f>+EN!F86</f>
        <v>0.30395551415516464</v>
      </c>
    </row>
    <row r="73" spans="1:13" x14ac:dyDescent="0.25">
      <c r="B73" s="237" t="str">
        <f>+IF(EN!$K$2="EN",Text!$B$27,Text!$C$27)</f>
        <v>Europe</v>
      </c>
      <c r="C73" s="235" vm="118">
        <f>+EN!F85</f>
        <v>0.23493957216475803</v>
      </c>
    </row>
    <row r="74" spans="1:13" x14ac:dyDescent="0.25">
      <c r="B74" s="237" t="str">
        <f>+IF(EN!$K$2="EN",Text!$B$46,Text!$C$46)</f>
        <v>APAC</v>
      </c>
      <c r="C74" s="235">
        <f>+EN!F88</f>
        <v>0.16534071417559884</v>
      </c>
    </row>
    <row r="75" spans="1:13" ht="13" thickBot="1" x14ac:dyDescent="0.3">
      <c r="B75" s="238" t="s">
        <v>32</v>
      </c>
      <c r="C75" s="239" vm="322">
        <f>EN!F84</f>
        <v>0.27716056530796901</v>
      </c>
    </row>
    <row r="77" spans="1:13" s="220" customFormat="1" x14ac:dyDescent="0.25">
      <c r="A77" s="312"/>
      <c r="B77" s="221" t="s">
        <v>72</v>
      </c>
      <c r="C77" s="312"/>
      <c r="D77" s="312"/>
      <c r="E77" s="312"/>
      <c r="F77" s="312"/>
      <c r="G77" s="312"/>
      <c r="H77" s="312"/>
      <c r="I77" s="312"/>
      <c r="J77" s="312"/>
      <c r="K77" s="312"/>
      <c r="L77" s="312"/>
      <c r="M77" s="312"/>
    </row>
    <row r="78" spans="1:13" ht="13" thickBot="1" x14ac:dyDescent="0.3"/>
    <row r="79" spans="1:13" x14ac:dyDescent="0.25">
      <c r="B79" s="301" t="s">
        <v>72</v>
      </c>
      <c r="C79" s="303"/>
      <c r="D79" s="303"/>
      <c r="E79" s="302"/>
    </row>
    <row r="80" spans="1:13" x14ac:dyDescent="0.25">
      <c r="B80" s="222"/>
      <c r="C80" s="223">
        <f>EN!Cur_Period</f>
        <v>2025</v>
      </c>
      <c r="D80" s="223">
        <f>EN!Pre_Period</f>
        <v>2024</v>
      </c>
      <c r="E80" s="224" t="s">
        <v>13</v>
      </c>
    </row>
    <row r="81" spans="2:7" x14ac:dyDescent="0.25">
      <c r="B81" s="237" t="s">
        <v>15</v>
      </c>
      <c r="C81" s="246">
        <f>EN!F33</f>
        <v>6604.0354000000007</v>
      </c>
      <c r="D81" s="225">
        <f>+[3]Backup!$F$13</f>
        <v>6814.054900000001</v>
      </c>
      <c r="E81" s="241">
        <f>+C81-D81</f>
        <v>-210.01950000000033</v>
      </c>
      <c r="G81" s="247"/>
    </row>
    <row r="82" spans="2:7" x14ac:dyDescent="0.25">
      <c r="B82" s="237" t="s">
        <v>16</v>
      </c>
      <c r="C82" s="246">
        <f>EN!F34</f>
        <v>10809.372100000015</v>
      </c>
      <c r="D82" s="225">
        <f>+[3]Backup!$F$28</f>
        <v>9766.4685000000281</v>
      </c>
      <c r="E82" s="241">
        <f t="shared" ref="E82:E85" si="4">+C82-D82</f>
        <v>1042.9035999999869</v>
      </c>
    </row>
    <row r="83" spans="2:7" x14ac:dyDescent="0.25">
      <c r="B83" s="237" t="s">
        <v>41</v>
      </c>
      <c r="C83" s="246">
        <f>EN!F35</f>
        <v>1825.8102000000001</v>
      </c>
      <c r="D83" s="225">
        <f>+[3]Backup!$F$33</f>
        <v>1701.9102000000007</v>
      </c>
      <c r="E83" s="241">
        <f t="shared" si="4"/>
        <v>123.89999999999941</v>
      </c>
    </row>
    <row r="84" spans="2:7" x14ac:dyDescent="0.25">
      <c r="B84" s="237" t="s">
        <v>18</v>
      </c>
      <c r="C84" s="246">
        <f>EN!F36</f>
        <v>1151.7403000000002</v>
      </c>
      <c r="D84" s="225">
        <f>+[3]Backup!$F$38</f>
        <v>1032.9588000000003</v>
      </c>
      <c r="E84" s="241">
        <f t="shared" si="4"/>
        <v>118.78149999999982</v>
      </c>
    </row>
    <row r="85" spans="2:7" ht="13" thickBot="1" x14ac:dyDescent="0.3">
      <c r="B85" s="238" t="s">
        <v>32</v>
      </c>
      <c r="C85" s="248">
        <f>+SUM(C81:C84)</f>
        <v>20390.958000000017</v>
      </c>
      <c r="D85" s="226" vm="284">
        <f>[3]Backup!$F$11</f>
        <v>19315.39219999998</v>
      </c>
      <c r="E85" s="249">
        <f t="shared" si="4"/>
        <v>1075.5658000000367</v>
      </c>
    </row>
    <row r="86" spans="2:7" x14ac:dyDescent="0.25">
      <c r="D86" t="b">
        <f>ROUND(D85,2)=ROUND(SUM(D81:D84),2)</f>
        <v>1</v>
      </c>
    </row>
    <row r="87" spans="2:7" x14ac:dyDescent="0.25">
      <c r="C87" s="247"/>
    </row>
  </sheetData>
  <mergeCells count="9">
    <mergeCell ref="H36:I36"/>
    <mergeCell ref="H43:I43"/>
    <mergeCell ref="B4:C4"/>
    <mergeCell ref="B11:C11"/>
    <mergeCell ref="B70:C70"/>
    <mergeCell ref="B20:C20"/>
    <mergeCell ref="B27:C27"/>
    <mergeCell ref="B36:C36"/>
    <mergeCell ref="B43:C43"/>
  </mergeCells>
  <conditionalFormatting sqref="D86">
    <cfRule type="notContainsText" dxfId="4" priority="1" operator="notContains" text="TRUE">
      <formula>ISERROR(SEARCH("TRUE",D86))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2"/>
  <sheetViews>
    <sheetView showGridLines="0" zoomScale="60" zoomScaleNormal="60" workbookViewId="0">
      <pane xSplit="1" ySplit="1" topLeftCell="B2" activePane="bottomRight" state="frozen"/>
      <selection pane="topRight" activeCell="B1" sqref="B1"/>
      <selection pane="bottomLeft" activeCell="A2" sqref="A2"/>
      <selection pane="bottomRight" activeCell="C5" sqref="C5"/>
    </sheetView>
  </sheetViews>
  <sheetFormatPr defaultColWidth="9.453125" defaultRowHeight="18" customHeight="1" x14ac:dyDescent="0.25"/>
  <cols>
    <col min="1" max="1" width="17.54296875" style="257" customWidth="1"/>
    <col min="2" max="2" width="221.54296875" style="274" bestFit="1" customWidth="1"/>
    <col min="3" max="3" width="165.453125" style="275" bestFit="1" customWidth="1"/>
    <col min="4" max="16384" width="9.453125" style="263"/>
  </cols>
  <sheetData>
    <row r="1" spans="1:3" s="261" customFormat="1" ht="45.75" customHeight="1" thickBot="1" x14ac:dyDescent="0.3">
      <c r="A1" s="258"/>
      <c r="B1" s="259" t="s">
        <v>3</v>
      </c>
      <c r="C1" s="260" t="s">
        <v>55</v>
      </c>
    </row>
    <row r="2" spans="1:3" s="262" customFormat="1" ht="18" customHeight="1" x14ac:dyDescent="0.25">
      <c r="A2" s="595" t="s">
        <v>73</v>
      </c>
      <c r="B2" s="276" t="s">
        <v>194</v>
      </c>
      <c r="C2" s="282" t="s">
        <v>195</v>
      </c>
    </row>
    <row r="3" spans="1:3" s="262" customFormat="1" ht="18" customHeight="1" x14ac:dyDescent="0.25">
      <c r="A3" s="596"/>
      <c r="B3" s="274">
        <v>2025</v>
      </c>
      <c r="C3" s="314">
        <v>2025</v>
      </c>
    </row>
    <row r="4" spans="1:3" s="262" customFormat="1" ht="18" customHeight="1" x14ac:dyDescent="0.25">
      <c r="A4" s="596"/>
      <c r="B4" s="274" t="s">
        <v>8</v>
      </c>
      <c r="C4" s="314" t="s">
        <v>74</v>
      </c>
    </row>
    <row r="5" spans="1:3" s="262" customFormat="1" ht="18" customHeight="1" thickBot="1" x14ac:dyDescent="0.3">
      <c r="A5" s="597"/>
      <c r="B5" s="277" t="s">
        <v>212</v>
      </c>
      <c r="C5" s="283" t="s">
        <v>213</v>
      </c>
    </row>
    <row r="6" spans="1:3" ht="18" customHeight="1" x14ac:dyDescent="0.25">
      <c r="A6" s="592" t="s">
        <v>75</v>
      </c>
      <c r="B6" s="278" t="s">
        <v>76</v>
      </c>
      <c r="C6" s="284" t="s">
        <v>77</v>
      </c>
    </row>
    <row r="7" spans="1:3" ht="18" customHeight="1" x14ac:dyDescent="0.25">
      <c r="A7" s="593"/>
      <c r="B7" s="279" t="s">
        <v>78</v>
      </c>
      <c r="C7" s="285" t="s">
        <v>79</v>
      </c>
    </row>
    <row r="8" spans="1:3" ht="18" customHeight="1" x14ac:dyDescent="0.25">
      <c r="A8" s="593"/>
      <c r="B8" s="279" t="s">
        <v>80</v>
      </c>
      <c r="C8" s="285" t="s">
        <v>81</v>
      </c>
    </row>
    <row r="9" spans="1:3" ht="18" customHeight="1" x14ac:dyDescent="0.25">
      <c r="A9" s="593"/>
      <c r="B9" s="279" t="s">
        <v>82</v>
      </c>
      <c r="C9" s="285" t="s">
        <v>83</v>
      </c>
    </row>
    <row r="10" spans="1:3" ht="18" customHeight="1" x14ac:dyDescent="0.25">
      <c r="A10" s="593"/>
      <c r="B10" s="279" t="s">
        <v>84</v>
      </c>
      <c r="C10" s="285" t="s">
        <v>85</v>
      </c>
    </row>
    <row r="11" spans="1:3" ht="18" customHeight="1" x14ac:dyDescent="0.25">
      <c r="A11" s="593"/>
      <c r="B11" s="279" t="s">
        <v>28</v>
      </c>
      <c r="C11" s="285" t="s">
        <v>86</v>
      </c>
    </row>
    <row r="12" spans="1:3" ht="18" customHeight="1" x14ac:dyDescent="0.25">
      <c r="A12" s="593"/>
      <c r="B12" s="279" t="s">
        <v>87</v>
      </c>
      <c r="C12" s="285" t="s">
        <v>87</v>
      </c>
    </row>
    <row r="13" spans="1:3" ht="18" customHeight="1" thickBot="1" x14ac:dyDescent="0.3">
      <c r="A13" s="594"/>
      <c r="B13" s="280" t="s">
        <v>88</v>
      </c>
      <c r="C13" s="286" t="s">
        <v>89</v>
      </c>
    </row>
    <row r="14" spans="1:3" ht="18" customHeight="1" x14ac:dyDescent="0.25">
      <c r="A14" s="595" t="s">
        <v>90</v>
      </c>
      <c r="B14" s="276" t="s">
        <v>91</v>
      </c>
      <c r="C14" s="282" t="s">
        <v>92</v>
      </c>
    </row>
    <row r="15" spans="1:3" ht="18" customHeight="1" x14ac:dyDescent="0.25">
      <c r="A15" s="596"/>
      <c r="B15" s="274" t="s">
        <v>93</v>
      </c>
      <c r="C15" s="275" t="s">
        <v>94</v>
      </c>
    </row>
    <row r="16" spans="1:3" ht="18" customHeight="1" x14ac:dyDescent="0.25">
      <c r="A16" s="596"/>
      <c r="B16" s="274" t="s">
        <v>95</v>
      </c>
      <c r="C16" s="275" t="s">
        <v>96</v>
      </c>
    </row>
    <row r="17" spans="1:3" ht="18" customHeight="1" x14ac:dyDescent="0.25">
      <c r="A17" s="596"/>
      <c r="B17" s="274" t="s">
        <v>97</v>
      </c>
      <c r="C17" s="275" t="s">
        <v>98</v>
      </c>
    </row>
    <row r="18" spans="1:3" ht="18" customHeight="1" x14ac:dyDescent="0.25">
      <c r="A18" s="596"/>
      <c r="B18" s="274" t="s">
        <v>99</v>
      </c>
      <c r="C18" s="275" t="s">
        <v>100</v>
      </c>
    </row>
    <row r="19" spans="1:3" ht="18" customHeight="1" thickBot="1" x14ac:dyDescent="0.3">
      <c r="A19" s="597"/>
      <c r="B19" s="277" t="s">
        <v>101</v>
      </c>
      <c r="C19" s="283" t="s">
        <v>102</v>
      </c>
    </row>
    <row r="20" spans="1:3" ht="18" customHeight="1" x14ac:dyDescent="0.25">
      <c r="A20" s="592" t="s">
        <v>103</v>
      </c>
      <c r="B20" s="278" t="s">
        <v>65</v>
      </c>
      <c r="C20" s="284" t="s">
        <v>104</v>
      </c>
    </row>
    <row r="21" spans="1:3" ht="18" customHeight="1" x14ac:dyDescent="0.25">
      <c r="A21" s="593"/>
      <c r="B21" s="279" t="s">
        <v>22</v>
      </c>
      <c r="C21" s="285" t="s">
        <v>66</v>
      </c>
    </row>
    <row r="22" spans="1:3" ht="18" customHeight="1" x14ac:dyDescent="0.25">
      <c r="A22" s="593"/>
      <c r="B22" s="279" t="s">
        <v>204</v>
      </c>
      <c r="C22" s="285" t="s">
        <v>208</v>
      </c>
    </row>
    <row r="23" spans="1:3" ht="18" customHeight="1" x14ac:dyDescent="0.25">
      <c r="A23" s="593"/>
      <c r="B23" s="279" t="s">
        <v>26</v>
      </c>
      <c r="C23" s="285" t="s">
        <v>69</v>
      </c>
    </row>
    <row r="24" spans="1:3" ht="18" customHeight="1" x14ac:dyDescent="0.25">
      <c r="A24" s="593"/>
      <c r="B24" s="279" t="s">
        <v>23</v>
      </c>
      <c r="C24" s="285" t="s">
        <v>67</v>
      </c>
    </row>
    <row r="25" spans="1:3" ht="18" customHeight="1" x14ac:dyDescent="0.25">
      <c r="A25" s="593"/>
      <c r="B25" s="279" t="s">
        <v>24</v>
      </c>
      <c r="C25" s="285" t="s">
        <v>24</v>
      </c>
    </row>
    <row r="26" spans="1:3" ht="18" customHeight="1" thickBot="1" x14ac:dyDescent="0.3">
      <c r="A26" s="594"/>
      <c r="B26" s="279" t="s">
        <v>203</v>
      </c>
      <c r="C26" s="285" t="s">
        <v>203</v>
      </c>
    </row>
    <row r="27" spans="1:3" ht="18" customHeight="1" x14ac:dyDescent="0.25">
      <c r="A27" s="595" t="s">
        <v>61</v>
      </c>
      <c r="B27" s="276" t="s">
        <v>15</v>
      </c>
      <c r="C27" s="282" t="s">
        <v>62</v>
      </c>
    </row>
    <row r="28" spans="1:3" ht="18" customHeight="1" x14ac:dyDescent="0.25">
      <c r="A28" s="596"/>
      <c r="B28" s="274" t="s">
        <v>105</v>
      </c>
      <c r="C28" s="275" t="s">
        <v>106</v>
      </c>
    </row>
    <row r="29" spans="1:3" ht="18" customHeight="1" x14ac:dyDescent="0.25">
      <c r="A29" s="596"/>
      <c r="B29" s="274" t="s">
        <v>107</v>
      </c>
      <c r="C29" s="275" t="s">
        <v>107</v>
      </c>
    </row>
    <row r="30" spans="1:3" ht="18" customHeight="1" x14ac:dyDescent="0.25">
      <c r="A30" s="596"/>
      <c r="B30" s="274" t="s">
        <v>108</v>
      </c>
      <c r="C30" s="275" t="s">
        <v>109</v>
      </c>
    </row>
    <row r="31" spans="1:3" ht="18" customHeight="1" x14ac:dyDescent="0.25">
      <c r="A31" s="596"/>
      <c r="B31" s="274" t="s">
        <v>110</v>
      </c>
      <c r="C31" s="275" t="s">
        <v>111</v>
      </c>
    </row>
    <row r="32" spans="1:3" ht="18" customHeight="1" x14ac:dyDescent="0.25">
      <c r="A32" s="596"/>
      <c r="B32" s="274" t="s">
        <v>112</v>
      </c>
      <c r="C32" s="275" t="s">
        <v>113</v>
      </c>
    </row>
    <row r="33" spans="1:3" ht="18" customHeight="1" x14ac:dyDescent="0.25">
      <c r="A33" s="596"/>
      <c r="B33" s="274" t="s">
        <v>196</v>
      </c>
      <c r="C33" s="275" t="s">
        <v>197</v>
      </c>
    </row>
    <row r="34" spans="1:3" ht="18" customHeight="1" x14ac:dyDescent="0.25">
      <c r="A34" s="596"/>
      <c r="B34" s="274" t="s">
        <v>16</v>
      </c>
      <c r="C34" s="275" t="s">
        <v>114</v>
      </c>
    </row>
    <row r="35" spans="1:3" ht="18" customHeight="1" x14ac:dyDescent="0.25">
      <c r="A35" s="596"/>
      <c r="B35" s="274" t="s">
        <v>115</v>
      </c>
      <c r="C35" s="275" t="s">
        <v>116</v>
      </c>
    </row>
    <row r="36" spans="1:3" ht="18" customHeight="1" x14ac:dyDescent="0.25">
      <c r="A36" s="596"/>
      <c r="B36" s="274" t="s">
        <v>117</v>
      </c>
      <c r="C36" s="275" t="s">
        <v>118</v>
      </c>
    </row>
    <row r="37" spans="1:3" ht="18" customHeight="1" x14ac:dyDescent="0.25">
      <c r="A37" s="596"/>
      <c r="B37" s="274" t="s">
        <v>119</v>
      </c>
      <c r="C37" s="275" t="s">
        <v>120</v>
      </c>
    </row>
    <row r="38" spans="1:3" ht="18" customHeight="1" x14ac:dyDescent="0.25">
      <c r="A38" s="596"/>
      <c r="B38" s="274" t="s">
        <v>121</v>
      </c>
      <c r="C38" s="275" t="s">
        <v>122</v>
      </c>
    </row>
    <row r="39" spans="1:3" ht="18" customHeight="1" x14ac:dyDescent="0.25">
      <c r="A39" s="596"/>
      <c r="B39" s="274" t="s">
        <v>123</v>
      </c>
      <c r="C39" s="275" t="s">
        <v>124</v>
      </c>
    </row>
    <row r="40" spans="1:3" ht="18" customHeight="1" x14ac:dyDescent="0.25">
      <c r="A40" s="596"/>
      <c r="B40" s="274" t="s">
        <v>41</v>
      </c>
      <c r="C40" s="275" t="s">
        <v>125</v>
      </c>
    </row>
    <row r="41" spans="1:3" ht="18" customHeight="1" x14ac:dyDescent="0.25">
      <c r="A41" s="596"/>
      <c r="B41" s="274" t="s">
        <v>126</v>
      </c>
      <c r="C41" s="275" t="s">
        <v>127</v>
      </c>
    </row>
    <row r="42" spans="1:3" ht="18" customHeight="1" x14ac:dyDescent="0.25">
      <c r="A42" s="596"/>
      <c r="B42" s="274" t="s">
        <v>128</v>
      </c>
      <c r="C42" s="275" t="s">
        <v>129</v>
      </c>
    </row>
    <row r="43" spans="1:3" ht="18" customHeight="1" x14ac:dyDescent="0.25">
      <c r="A43" s="596"/>
      <c r="B43" s="274" t="s">
        <v>130</v>
      </c>
      <c r="C43" s="275" t="s">
        <v>131</v>
      </c>
    </row>
    <row r="44" spans="1:3" ht="18" customHeight="1" x14ac:dyDescent="0.25">
      <c r="A44" s="596"/>
      <c r="B44" s="274" t="s">
        <v>132</v>
      </c>
      <c r="C44" s="275" t="s">
        <v>132</v>
      </c>
    </row>
    <row r="45" spans="1:3" ht="18" customHeight="1" x14ac:dyDescent="0.25">
      <c r="A45" s="596"/>
      <c r="B45" s="275" t="s">
        <v>133</v>
      </c>
      <c r="C45" s="275" t="s">
        <v>134</v>
      </c>
    </row>
    <row r="46" spans="1:3" ht="18" customHeight="1" x14ac:dyDescent="0.25">
      <c r="A46" s="596"/>
      <c r="B46" s="274" t="s">
        <v>18</v>
      </c>
      <c r="C46" s="275" t="s">
        <v>18</v>
      </c>
    </row>
    <row r="47" spans="1:3" ht="18" customHeight="1" x14ac:dyDescent="0.25">
      <c r="A47" s="596"/>
      <c r="B47" s="274" t="s">
        <v>135</v>
      </c>
      <c r="C47" s="275" t="s">
        <v>136</v>
      </c>
    </row>
    <row r="48" spans="1:3" ht="18" customHeight="1" x14ac:dyDescent="0.25">
      <c r="A48" s="596"/>
      <c r="B48" s="274" t="s">
        <v>54</v>
      </c>
      <c r="C48" s="275" t="s">
        <v>137</v>
      </c>
    </row>
    <row r="49" spans="1:3" ht="18" customHeight="1" x14ac:dyDescent="0.25">
      <c r="A49" s="596"/>
      <c r="B49" s="274" t="s">
        <v>53</v>
      </c>
      <c r="C49" s="275" t="s">
        <v>138</v>
      </c>
    </row>
    <row r="50" spans="1:3" ht="18" customHeight="1" x14ac:dyDescent="0.25">
      <c r="A50" s="596"/>
      <c r="B50" s="274" t="s">
        <v>139</v>
      </c>
      <c r="C50" s="275" t="s">
        <v>139</v>
      </c>
    </row>
    <row r="51" spans="1:3" ht="18" customHeight="1" x14ac:dyDescent="0.25">
      <c r="A51" s="596"/>
      <c r="B51" s="274" t="s">
        <v>140</v>
      </c>
      <c r="C51" s="275" t="s">
        <v>63</v>
      </c>
    </row>
    <row r="52" spans="1:3" ht="18" customHeight="1" x14ac:dyDescent="0.25">
      <c r="A52" s="596"/>
      <c r="B52" s="274" t="s">
        <v>141</v>
      </c>
      <c r="C52" s="275" t="s">
        <v>64</v>
      </c>
    </row>
    <row r="53" spans="1:3" ht="18" customHeight="1" x14ac:dyDescent="0.25">
      <c r="A53" s="596"/>
      <c r="B53" s="274" t="s">
        <v>142</v>
      </c>
      <c r="C53" s="275" t="s">
        <v>143</v>
      </c>
    </row>
    <row r="54" spans="1:3" ht="18" customHeight="1" thickBot="1" x14ac:dyDescent="0.3">
      <c r="A54" s="597"/>
      <c r="B54" s="274" t="s">
        <v>144</v>
      </c>
      <c r="C54" s="275" t="s">
        <v>145</v>
      </c>
    </row>
    <row r="55" spans="1:3" ht="18" customHeight="1" x14ac:dyDescent="0.25">
      <c r="A55" s="592" t="s">
        <v>146</v>
      </c>
      <c r="B55" s="278" t="s">
        <v>147</v>
      </c>
      <c r="C55" s="284" t="s">
        <v>147</v>
      </c>
    </row>
    <row r="56" spans="1:3" ht="18" customHeight="1" x14ac:dyDescent="0.25">
      <c r="A56" s="593"/>
      <c r="B56" s="279" t="s">
        <v>148</v>
      </c>
      <c r="C56" s="285" t="s">
        <v>149</v>
      </c>
    </row>
    <row r="57" spans="1:3" ht="18" customHeight="1" x14ac:dyDescent="0.25">
      <c r="A57" s="593"/>
      <c r="B57" s="279" t="s">
        <v>150</v>
      </c>
      <c r="C57" s="285" t="s">
        <v>151</v>
      </c>
    </row>
    <row r="58" spans="1:3" ht="18" customHeight="1" x14ac:dyDescent="0.25">
      <c r="A58" s="593"/>
      <c r="B58" s="279" t="s">
        <v>152</v>
      </c>
      <c r="C58" s="285" t="s">
        <v>152</v>
      </c>
    </row>
    <row r="59" spans="1:3" ht="18" customHeight="1" x14ac:dyDescent="0.25">
      <c r="A59" s="593"/>
      <c r="B59" s="279" t="s">
        <v>153</v>
      </c>
      <c r="C59" s="285" t="s">
        <v>154</v>
      </c>
    </row>
    <row r="60" spans="1:3" ht="18" customHeight="1" x14ac:dyDescent="0.25">
      <c r="A60" s="593"/>
      <c r="B60" s="279" t="s">
        <v>155</v>
      </c>
      <c r="C60" s="285" t="s">
        <v>156</v>
      </c>
    </row>
    <row r="61" spans="1:3" ht="18" customHeight="1" x14ac:dyDescent="0.25">
      <c r="A61" s="593"/>
      <c r="B61" s="279" t="s">
        <v>157</v>
      </c>
      <c r="C61" s="285" t="s">
        <v>158</v>
      </c>
    </row>
    <row r="62" spans="1:3" ht="18" customHeight="1" x14ac:dyDescent="0.25">
      <c r="A62" s="593"/>
      <c r="B62" s="279" t="s">
        <v>159</v>
      </c>
      <c r="C62" s="285" t="s">
        <v>160</v>
      </c>
    </row>
    <row r="63" spans="1:3" ht="18" customHeight="1" x14ac:dyDescent="0.25">
      <c r="A63" s="593"/>
      <c r="B63" s="279" t="s">
        <v>161</v>
      </c>
      <c r="C63" s="285" t="s">
        <v>162</v>
      </c>
    </row>
    <row r="64" spans="1:3" ht="18" customHeight="1" x14ac:dyDescent="0.25">
      <c r="A64" s="593"/>
      <c r="B64" s="279" t="s">
        <v>163</v>
      </c>
      <c r="C64" s="285" t="s">
        <v>164</v>
      </c>
    </row>
    <row r="65" spans="1:3" ht="18" customHeight="1" x14ac:dyDescent="0.25">
      <c r="A65" s="593"/>
      <c r="B65" s="279" t="s">
        <v>165</v>
      </c>
      <c r="C65" s="285" t="s">
        <v>166</v>
      </c>
    </row>
    <row r="66" spans="1:3" ht="18" customHeight="1" thickBot="1" x14ac:dyDescent="0.3">
      <c r="A66" s="594"/>
      <c r="B66" s="280" t="s">
        <v>167</v>
      </c>
      <c r="C66" s="286" t="s">
        <v>168</v>
      </c>
    </row>
    <row r="67" spans="1:3" ht="18" customHeight="1" x14ac:dyDescent="0.25">
      <c r="A67" s="595" t="s">
        <v>169</v>
      </c>
      <c r="B67" s="281" t="s">
        <v>200</v>
      </c>
      <c r="C67" s="282" t="s">
        <v>211</v>
      </c>
    </row>
    <row r="68" spans="1:3" ht="18" customHeight="1" x14ac:dyDescent="0.25">
      <c r="A68" s="596"/>
      <c r="B68" s="281" t="s">
        <v>206</v>
      </c>
      <c r="C68" s="275" t="s">
        <v>210</v>
      </c>
    </row>
    <row r="69" spans="1:3" ht="18" customHeight="1" x14ac:dyDescent="0.25">
      <c r="A69" s="596"/>
      <c r="B69" s="470" t="s">
        <v>198</v>
      </c>
      <c r="C69" s="275" t="s">
        <v>207</v>
      </c>
    </row>
    <row r="70" spans="1:3" ht="18" customHeight="1" x14ac:dyDescent="0.25">
      <c r="A70" s="596"/>
      <c r="B70" s="281" t="s">
        <v>170</v>
      </c>
      <c r="C70" s="275" t="s">
        <v>171</v>
      </c>
    </row>
    <row r="71" spans="1:3" ht="18" customHeight="1" thickBot="1" x14ac:dyDescent="0.3">
      <c r="A71" s="596"/>
      <c r="B71" s="281" t="s">
        <v>205</v>
      </c>
      <c r="C71" s="275" t="s">
        <v>209</v>
      </c>
    </row>
    <row r="72" spans="1:3" ht="18" customHeight="1" x14ac:dyDescent="0.25">
      <c r="A72" s="592" t="s">
        <v>172</v>
      </c>
      <c r="B72" s="278" t="s">
        <v>173</v>
      </c>
      <c r="C72" s="284" t="s">
        <v>174</v>
      </c>
    </row>
    <row r="73" spans="1:3" ht="18" customHeight="1" x14ac:dyDescent="0.25">
      <c r="A73" s="593"/>
      <c r="B73" s="279" t="s">
        <v>175</v>
      </c>
      <c r="C73" s="285" t="s">
        <v>176</v>
      </c>
    </row>
    <row r="74" spans="1:3" ht="18" customHeight="1" x14ac:dyDescent="0.25">
      <c r="A74" s="593"/>
      <c r="B74" s="279" t="s">
        <v>177</v>
      </c>
      <c r="C74" s="285" t="s">
        <v>177</v>
      </c>
    </row>
    <row r="75" spans="1:3" ht="18" customHeight="1" x14ac:dyDescent="0.25">
      <c r="A75" s="593"/>
      <c r="B75" s="279" t="s">
        <v>178</v>
      </c>
      <c r="C75" s="285" t="s">
        <v>178</v>
      </c>
    </row>
    <row r="76" spans="1:3" ht="18" customHeight="1" thickBot="1" x14ac:dyDescent="0.3">
      <c r="A76" s="594"/>
      <c r="B76" s="280" t="s">
        <v>179</v>
      </c>
      <c r="C76" s="286" t="s">
        <v>180</v>
      </c>
    </row>
    <row r="81" spans="2:3" ht="18" customHeight="1" x14ac:dyDescent="0.25">
      <c r="B81"/>
      <c r="C81"/>
    </row>
    <row r="82" spans="2:3" ht="18" customHeight="1" x14ac:dyDescent="0.25">
      <c r="B82"/>
      <c r="C82"/>
    </row>
  </sheetData>
  <mergeCells count="8">
    <mergeCell ref="A55:A66"/>
    <mergeCell ref="A67:A71"/>
    <mergeCell ref="A72:A76"/>
    <mergeCell ref="A27:A54"/>
    <mergeCell ref="A2:A5"/>
    <mergeCell ref="A6:A13"/>
    <mergeCell ref="A14:A19"/>
    <mergeCell ref="A20:A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AY195"/>
  <sheetViews>
    <sheetView showGridLines="0" view="pageBreakPreview" zoomScale="53" zoomScaleNormal="70" zoomScaleSheetLayoutView="53" workbookViewId="0">
      <selection activeCell="S182" sqref="S182"/>
    </sheetView>
  </sheetViews>
  <sheetFormatPr defaultColWidth="12.54296875" defaultRowHeight="18" customHeight="1" x14ac:dyDescent="0.25"/>
  <cols>
    <col min="1" max="1" width="12.54296875" style="2"/>
    <col min="2" max="2" width="12.54296875" style="1" customWidth="1"/>
    <col min="3" max="8" width="12.54296875" style="1"/>
    <col min="9" max="9" width="12.54296875" style="1" customWidth="1"/>
    <col min="10" max="16" width="12.54296875" style="1"/>
    <col min="17" max="17" width="12.54296875" style="1" customWidth="1"/>
    <col min="18" max="20" width="12.54296875" style="1"/>
    <col min="52" max="16384" width="12.54296875" style="1"/>
  </cols>
  <sheetData>
    <row r="1" spans="1:20" ht="18" customHeight="1" thickBot="1" x14ac:dyDescent="0.3">
      <c r="B1" s="67" t="s">
        <v>181</v>
      </c>
      <c r="C1" s="66" t="e">
        <f>+IF($K$1="EN",Text!#REF!,Text!#REF!)</f>
        <v>#REF!</v>
      </c>
      <c r="D1" s="64" t="e">
        <f>RIGHT(CURPEN,2)</f>
        <v>#NAME?</v>
      </c>
      <c r="F1" s="67" t="s">
        <v>182</v>
      </c>
      <c r="G1" s="66" t="e">
        <f>+IF($K$1="EN",Text!#REF!,Text!#REF!)</f>
        <v>#REF!</v>
      </c>
      <c r="H1" s="65" t="str">
        <f>RIGHT(Cur_Year,2)</f>
        <v>25</v>
      </c>
      <c r="I1" s="64" t="str">
        <f>LEFT(Cur_Year,2)</f>
        <v>20</v>
      </c>
      <c r="K1" s="607" t="s">
        <v>3</v>
      </c>
    </row>
    <row r="2" spans="1:20" ht="18" customHeight="1" thickBot="1" x14ac:dyDescent="0.3">
      <c r="B2" s="67" t="s">
        <v>183</v>
      </c>
      <c r="C2" s="66" t="e">
        <f>+IF($K$1="EN",Text!#REF!,Text!#REF!)</f>
        <v>#REF!</v>
      </c>
      <c r="D2" s="64" t="e">
        <f>RIGHT(COMP,2)</f>
        <v>#NAME?</v>
      </c>
      <c r="F2" s="67" t="s">
        <v>184</v>
      </c>
      <c r="G2" s="66" t="e">
        <f>+IF($K$1="EN",Text!#REF!,Text!#REF!)</f>
        <v>#REF!</v>
      </c>
      <c r="H2" s="65" t="e">
        <f>RIGHT(COMPQ,2)</f>
        <v>#NAME?</v>
      </c>
      <c r="I2" s="64" t="e">
        <f>LEFT(COMPQ,2)</f>
        <v>#NAME?</v>
      </c>
      <c r="K2" s="608"/>
    </row>
    <row r="3" spans="1:20" ht="18" customHeight="1" thickBot="1" x14ac:dyDescent="0.3">
      <c r="B3" s="67" t="s">
        <v>185</v>
      </c>
      <c r="C3" s="68">
        <v>2020</v>
      </c>
      <c r="D3" s="64" t="e">
        <f>RIGHT(COMP,2)</f>
        <v>#NAME?</v>
      </c>
      <c r="F3" s="67" t="s">
        <v>186</v>
      </c>
      <c r="G3" s="66"/>
      <c r="H3" s="65"/>
      <c r="I3" s="64"/>
      <c r="K3" s="609"/>
    </row>
    <row r="5" spans="1:20" ht="18" customHeight="1" x14ac:dyDescent="0.25">
      <c r="H5" s="37"/>
      <c r="I5" s="37"/>
      <c r="J5" s="37"/>
    </row>
    <row r="6" spans="1:20" ht="18" customHeight="1" x14ac:dyDescent="0.25">
      <c r="A6" s="2">
        <v>1</v>
      </c>
      <c r="D6" s="29"/>
      <c r="E6" s="29"/>
      <c r="F6" s="29"/>
      <c r="G6" s="29"/>
      <c r="H6" s="29"/>
      <c r="I6" s="29"/>
      <c r="J6" s="29"/>
      <c r="K6" s="29"/>
      <c r="L6" s="29"/>
      <c r="M6" s="29"/>
      <c r="N6" s="29"/>
      <c r="O6" s="29"/>
      <c r="P6" s="29"/>
      <c r="Q6" s="29"/>
      <c r="R6" s="29"/>
      <c r="S6" s="29"/>
      <c r="T6" s="29"/>
    </row>
    <row r="7" spans="1:20" ht="51" customHeight="1" x14ac:dyDescent="0.25">
      <c r="A7" s="2">
        <f t="shared" ref="A7:A70" si="0">A6+1</f>
        <v>2</v>
      </c>
      <c r="C7" s="34" t="str">
        <f>+IF($K$1="EN",Text!$B$2,Text!$C$2)</f>
        <v>Operating Data Preview 2025</v>
      </c>
      <c r="D7" s="63"/>
      <c r="E7" s="63"/>
      <c r="F7" s="63"/>
      <c r="G7" s="63"/>
      <c r="I7" s="34"/>
      <c r="L7" s="33"/>
    </row>
    <row r="8" spans="1:20" ht="21" customHeight="1" x14ac:dyDescent="0.25">
      <c r="A8" s="2">
        <f t="shared" si="0"/>
        <v>3</v>
      </c>
      <c r="C8" s="32" t="str">
        <f>+IF($K$1="EN",Text!$B$5,Text!$C$5)</f>
        <v>Madrid, January 22nd, 2026</v>
      </c>
      <c r="D8" s="31"/>
      <c r="E8" s="31"/>
      <c r="F8" s="31"/>
      <c r="G8" s="31"/>
      <c r="H8" s="31"/>
      <c r="I8" s="31"/>
      <c r="J8" s="31"/>
      <c r="K8" s="31"/>
      <c r="L8" s="31"/>
      <c r="M8" s="31"/>
      <c r="N8" s="31"/>
      <c r="O8" s="31"/>
      <c r="P8" s="31"/>
      <c r="Q8" s="31"/>
    </row>
    <row r="9" spans="1:20" ht="18" customHeight="1" x14ac:dyDescent="0.25">
      <c r="A9" s="2">
        <f t="shared" si="0"/>
        <v>4</v>
      </c>
    </row>
    <row r="10" spans="1:20" ht="24.75" customHeight="1" thickBot="1" x14ac:dyDescent="0.55000000000000004">
      <c r="A10" s="2">
        <f t="shared" si="0"/>
        <v>5</v>
      </c>
      <c r="C10" s="17" t="str">
        <f>+IF($K$1="EN",Text!$B$6,Text!$C$6)</f>
        <v>Key Highlights</v>
      </c>
      <c r="D10" s="18"/>
      <c r="E10" s="18"/>
      <c r="F10" s="18"/>
      <c r="G10" s="18"/>
      <c r="H10" s="18"/>
      <c r="I10" s="18"/>
      <c r="J10" s="18"/>
      <c r="K10" s="18"/>
      <c r="L10" s="18"/>
      <c r="M10" s="18"/>
      <c r="N10" s="18"/>
      <c r="O10" s="18"/>
      <c r="P10" s="18"/>
      <c r="Q10" s="18"/>
    </row>
    <row r="11" spans="1:20" ht="18" customHeight="1" x14ac:dyDescent="0.25">
      <c r="A11" s="2">
        <f t="shared" si="0"/>
        <v>6</v>
      </c>
      <c r="C11" s="3"/>
    </row>
    <row r="12" spans="1:20" ht="18" customHeight="1" x14ac:dyDescent="0.25">
      <c r="A12" s="2">
        <f t="shared" si="0"/>
        <v>7</v>
      </c>
      <c r="C12" s="3"/>
    </row>
    <row r="13" spans="1:20" ht="18" customHeight="1" x14ac:dyDescent="0.25">
      <c r="A13" s="2">
        <f t="shared" si="0"/>
        <v>8</v>
      </c>
      <c r="C13" s="3"/>
    </row>
    <row r="14" spans="1:20" ht="18" customHeight="1" x14ac:dyDescent="0.25">
      <c r="A14" s="2">
        <f t="shared" si="0"/>
        <v>9</v>
      </c>
      <c r="C14" s="3"/>
    </row>
    <row r="15" spans="1:20" ht="18" customHeight="1" x14ac:dyDescent="0.25">
      <c r="A15" s="2">
        <f t="shared" si="0"/>
        <v>10</v>
      </c>
      <c r="C15" s="3"/>
      <c r="T15" s="35"/>
    </row>
    <row r="16" spans="1:20" ht="18" customHeight="1" x14ac:dyDescent="0.25">
      <c r="A16" s="2">
        <f t="shared" si="0"/>
        <v>11</v>
      </c>
      <c r="C16" s="3"/>
      <c r="T16" s="35"/>
    </row>
    <row r="17" spans="1:20" ht="18" customHeight="1" x14ac:dyDescent="0.25">
      <c r="A17" s="2">
        <f t="shared" si="0"/>
        <v>12</v>
      </c>
      <c r="C17" s="3"/>
      <c r="T17" s="35"/>
    </row>
    <row r="18" spans="1:20" ht="18" customHeight="1" x14ac:dyDescent="0.25">
      <c r="A18" s="2">
        <f t="shared" si="0"/>
        <v>13</v>
      </c>
      <c r="C18" s="3"/>
      <c r="T18" s="35"/>
    </row>
    <row r="19" spans="1:20" ht="18" customHeight="1" x14ac:dyDescent="0.25">
      <c r="A19" s="2">
        <f t="shared" si="0"/>
        <v>14</v>
      </c>
      <c r="C19" s="3"/>
      <c r="T19" s="35"/>
    </row>
    <row r="20" spans="1:20" ht="18" customHeight="1" x14ac:dyDescent="0.25">
      <c r="A20" s="2">
        <f t="shared" si="0"/>
        <v>15</v>
      </c>
      <c r="C20" s="3"/>
      <c r="T20" s="35"/>
    </row>
    <row r="21" spans="1:20" ht="18" customHeight="1" x14ac:dyDescent="0.25">
      <c r="A21" s="2">
        <f t="shared" si="0"/>
        <v>16</v>
      </c>
      <c r="C21" s="3"/>
      <c r="T21" s="35"/>
    </row>
    <row r="22" spans="1:20" ht="18" customHeight="1" x14ac:dyDescent="0.25">
      <c r="A22" s="2">
        <f t="shared" si="0"/>
        <v>17</v>
      </c>
      <c r="C22" s="3"/>
      <c r="T22" s="35"/>
    </row>
    <row r="23" spans="1:20" ht="18" customHeight="1" x14ac:dyDescent="0.25">
      <c r="A23" s="2">
        <f t="shared" si="0"/>
        <v>18</v>
      </c>
      <c r="C23" s="3"/>
      <c r="T23" s="35"/>
    </row>
    <row r="24" spans="1:20" ht="18" customHeight="1" x14ac:dyDescent="0.25">
      <c r="A24" s="2">
        <f t="shared" si="0"/>
        <v>19</v>
      </c>
      <c r="C24" s="3"/>
      <c r="T24" s="35"/>
    </row>
    <row r="25" spans="1:20" ht="18" customHeight="1" x14ac:dyDescent="0.25">
      <c r="A25" s="2">
        <f t="shared" si="0"/>
        <v>20</v>
      </c>
      <c r="C25" s="3"/>
      <c r="T25" s="35"/>
    </row>
    <row r="26" spans="1:20" ht="18" customHeight="1" x14ac:dyDescent="0.25">
      <c r="A26" s="2">
        <f t="shared" si="0"/>
        <v>21</v>
      </c>
      <c r="T26" s="35"/>
    </row>
    <row r="27" spans="1:20" ht="18" customHeight="1" x14ac:dyDescent="0.25">
      <c r="A27" s="2">
        <f t="shared" si="0"/>
        <v>22</v>
      </c>
      <c r="T27" s="35"/>
    </row>
    <row r="28" spans="1:20" ht="24.75" customHeight="1" thickBot="1" x14ac:dyDescent="0.55000000000000004">
      <c r="A28" s="2">
        <f t="shared" si="0"/>
        <v>23</v>
      </c>
      <c r="C28" s="19" t="str">
        <f>+IF($K$1="EN",Text!$B$7,Text!$C$7)</f>
        <v>Installed Capacity</v>
      </c>
      <c r="D28" s="30"/>
      <c r="E28" s="30"/>
      <c r="F28" s="30"/>
      <c r="G28" s="30"/>
      <c r="H28" s="30"/>
      <c r="I28" s="30"/>
      <c r="J28" s="30"/>
      <c r="L28" s="610" t="str">
        <f>+IF($K$1="EN",Text!$B$8,Text!$C$8)</f>
        <v>Installed Capacity by Region</v>
      </c>
      <c r="M28" s="610"/>
      <c r="N28" s="610"/>
      <c r="O28" s="610"/>
      <c r="P28" s="610"/>
      <c r="Q28" s="610"/>
      <c r="T28" s="35"/>
    </row>
    <row r="29" spans="1:20" ht="18" customHeight="1" x14ac:dyDescent="0.25">
      <c r="A29" s="2">
        <f t="shared" si="0"/>
        <v>24</v>
      </c>
      <c r="T29" s="35"/>
    </row>
    <row r="30" spans="1:20" ht="18" customHeight="1" x14ac:dyDescent="0.25">
      <c r="A30" s="2">
        <f t="shared" si="0"/>
        <v>25</v>
      </c>
      <c r="D30" s="35"/>
      <c r="G30" s="614">
        <v>2021</v>
      </c>
      <c r="H30" s="614"/>
      <c r="I30" s="614"/>
      <c r="T30" s="35"/>
    </row>
    <row r="31" spans="1:20" ht="18" customHeight="1" x14ac:dyDescent="0.25">
      <c r="A31" s="2">
        <f t="shared" si="0"/>
        <v>26</v>
      </c>
      <c r="C31" s="62" t="str">
        <f>+IF($K$1="EN",Text!$B$58,Text!$C$58)</f>
        <v>EBITDA + Eq. MW</v>
      </c>
      <c r="D31" s="15"/>
      <c r="E31" s="110" t="e">
        <f>+CURPEN</f>
        <v>#NAME?</v>
      </c>
      <c r="F31" s="116" t="s">
        <v>13</v>
      </c>
      <c r="G31" s="27" t="str">
        <f>+IF($K$1="EN",Text!$B$61,Text!$C$61)</f>
        <v>Additions</v>
      </c>
      <c r="H31" s="27" t="str">
        <f>+IF($K$1="EN",Text!$B$62,Text!$C$62)</f>
        <v>AR/Decom.</v>
      </c>
      <c r="I31" s="107" t="s">
        <v>8</v>
      </c>
      <c r="J31" s="27" t="str">
        <f>+IF($K$1="EN",Text!$B$63,Text!$C$63)</f>
        <v>U/C</v>
      </c>
      <c r="T31" s="35"/>
    </row>
    <row r="32" spans="1:20" ht="18" customHeight="1" x14ac:dyDescent="0.25">
      <c r="A32" s="2">
        <f t="shared" si="0"/>
        <v>27</v>
      </c>
      <c r="E32" s="86"/>
      <c r="F32" s="100"/>
      <c r="G32" s="60"/>
      <c r="H32" s="60"/>
      <c r="I32" s="94"/>
      <c r="J32" s="84"/>
      <c r="T32" s="35"/>
    </row>
    <row r="33" spans="1:51" ht="18" customHeight="1" x14ac:dyDescent="0.25">
      <c r="A33" s="2">
        <f t="shared" si="0"/>
        <v>28</v>
      </c>
      <c r="C33" s="61" t="str">
        <f>+IF($K$1="EN",Text!$B$27,Text!$C$27)</f>
        <v>Europe</v>
      </c>
      <c r="D33" s="3"/>
      <c r="E33" s="86"/>
      <c r="F33" s="100"/>
      <c r="G33" s="69"/>
      <c r="H33" s="69"/>
      <c r="I33" s="95"/>
      <c r="J33" s="85"/>
      <c r="T33" s="35"/>
    </row>
    <row r="34" spans="1:51" ht="18" customHeight="1" x14ac:dyDescent="0.25">
      <c r="A34" s="2">
        <f t="shared" si="0"/>
        <v>29</v>
      </c>
      <c r="E34" s="86"/>
      <c r="F34" s="101"/>
      <c r="G34" s="70"/>
      <c r="H34" s="70"/>
      <c r="I34" s="96"/>
      <c r="J34" s="84"/>
      <c r="T34" s="35"/>
    </row>
    <row r="35" spans="1:51" ht="18" customHeight="1" x14ac:dyDescent="0.25">
      <c r="A35" s="2">
        <f t="shared" si="0"/>
        <v>30</v>
      </c>
      <c r="C35" s="61" t="str">
        <f>+IF($K$1="EN",Text!$B$34,Text!$C$34)</f>
        <v>North America</v>
      </c>
      <c r="D35" s="3"/>
      <c r="E35" s="86"/>
      <c r="F35" s="100"/>
      <c r="G35" s="69"/>
      <c r="H35" s="69"/>
      <c r="I35" s="95"/>
      <c r="J35" s="85"/>
      <c r="N35" s="606" t="str">
        <f>ROUND(E41/1000,1)&amp;" GW"</f>
        <v>0 GW</v>
      </c>
      <c r="O35" s="606"/>
      <c r="P35" s="29"/>
      <c r="T35" s="35"/>
    </row>
    <row r="36" spans="1:51" ht="18" customHeight="1" x14ac:dyDescent="0.25">
      <c r="A36" s="2">
        <f t="shared" si="0"/>
        <v>31</v>
      </c>
      <c r="E36" s="86"/>
      <c r="F36" s="101"/>
      <c r="G36" s="70"/>
      <c r="H36" s="70"/>
      <c r="I36" s="96"/>
      <c r="J36" s="84"/>
      <c r="N36" s="606"/>
      <c r="O36" s="606"/>
      <c r="P36" s="29"/>
      <c r="T36" s="35"/>
    </row>
    <row r="37" spans="1:51" ht="18" customHeight="1" x14ac:dyDescent="0.25">
      <c r="A37" s="2">
        <f t="shared" si="0"/>
        <v>32</v>
      </c>
      <c r="C37" s="61" t="str">
        <f>+IF($K$1="EN",Text!$B$40,Text!$C$40)</f>
        <v>South America</v>
      </c>
      <c r="D37" s="3"/>
      <c r="E37" s="86"/>
      <c r="F37" s="100"/>
      <c r="G37" s="69"/>
      <c r="H37" s="69"/>
      <c r="I37" s="95"/>
      <c r="J37" s="85"/>
      <c r="T37" s="35"/>
    </row>
    <row r="38" spans="1:51" ht="18" customHeight="1" x14ac:dyDescent="0.25">
      <c r="A38" s="2">
        <f t="shared" si="0"/>
        <v>33</v>
      </c>
      <c r="E38" s="86"/>
      <c r="F38" s="101"/>
      <c r="G38" s="70"/>
      <c r="H38" s="70"/>
      <c r="I38" s="96"/>
      <c r="J38" s="84"/>
    </row>
    <row r="39" spans="1:51" ht="18" customHeight="1" x14ac:dyDescent="0.25">
      <c r="A39" s="2">
        <f t="shared" si="0"/>
        <v>34</v>
      </c>
      <c r="C39" s="61" t="str">
        <f>+IF($K$1="EN",Text!$B$46,Text!$C$46)</f>
        <v>APAC</v>
      </c>
      <c r="D39" s="3"/>
      <c r="E39" s="86"/>
      <c r="F39" s="100"/>
      <c r="G39" s="69"/>
      <c r="H39" s="69"/>
      <c r="I39" s="95"/>
      <c r="J39" s="85"/>
    </row>
    <row r="40" spans="1:51" ht="18" customHeight="1" x14ac:dyDescent="0.25">
      <c r="A40" s="2">
        <f t="shared" si="0"/>
        <v>35</v>
      </c>
      <c r="B40" s="36"/>
      <c r="E40" s="86"/>
      <c r="F40" s="101"/>
      <c r="G40" s="70"/>
      <c r="H40" s="70"/>
      <c r="I40" s="96"/>
      <c r="J40" s="84"/>
    </row>
    <row r="41" spans="1:51" ht="18" customHeight="1" x14ac:dyDescent="0.25">
      <c r="A41" s="2">
        <f t="shared" si="0"/>
        <v>36</v>
      </c>
      <c r="B41" s="36"/>
      <c r="C41" s="9" t="e">
        <f>+IF($K$1="EN",Text!#REF!,Text!#REF!)</f>
        <v>#REF!</v>
      </c>
      <c r="D41" s="9"/>
      <c r="E41" s="87" t="b">
        <f>ROUND(EN!F37,2)=ROUND(SUM(EN!F33:F36),2)</f>
        <v>1</v>
      </c>
      <c r="F41" s="102" t="e">
        <f>ROUND(EN!#REF!,2)=ROUND(SUM(EN!#REF!),2)</f>
        <v>#REF!</v>
      </c>
      <c r="G41" s="71" t="b">
        <f>ROUND(EN!H37,2)=ROUND(SUM(EN!H33:H36),2)</f>
        <v>1</v>
      </c>
      <c r="H41" s="71" t="b">
        <f>ROUND(EN!I37,2)=ROUND(SUM(EN!I33:I36),2)</f>
        <v>1</v>
      </c>
      <c r="I41" s="108" t="b">
        <f>ROUND(EN!J37,1)=ROUND(SUM(EN!J33:J36),1)</f>
        <v>1</v>
      </c>
      <c r="J41" s="109" t="e">
        <f>ROUND(EN!#REF!,2)=ROUND(SUM(EN!#REF!),2)</f>
        <v>#REF!</v>
      </c>
      <c r="S41" s="115" t="s">
        <v>187</v>
      </c>
    </row>
    <row r="42" spans="1:51" ht="18" customHeight="1" x14ac:dyDescent="0.25">
      <c r="A42" s="2">
        <f t="shared" si="0"/>
        <v>37</v>
      </c>
      <c r="B42" s="36"/>
      <c r="F42" s="89"/>
      <c r="I42" s="41"/>
    </row>
    <row r="43" spans="1:51" s="35" customFormat="1" ht="18" customHeight="1" x14ac:dyDescent="0.25">
      <c r="A43" s="2">
        <f t="shared" si="0"/>
        <v>38</v>
      </c>
      <c r="C43" s="1"/>
      <c r="D43" s="1"/>
      <c r="E43" s="1"/>
      <c r="F43" s="89"/>
      <c r="G43" s="1"/>
      <c r="H43" s="1"/>
      <c r="I43" s="93"/>
      <c r="J43" s="1"/>
      <c r="K43" s="1"/>
      <c r="L43" s="1"/>
      <c r="M43" s="1"/>
      <c r="N43" s="1"/>
      <c r="O43" s="1"/>
      <c r="P43" s="1"/>
      <c r="Q43" s="1"/>
      <c r="T43" s="1"/>
      <c r="U43"/>
      <c r="V43"/>
      <c r="W43"/>
      <c r="X43"/>
      <c r="Y43"/>
      <c r="Z43"/>
      <c r="AA43"/>
      <c r="AB43"/>
      <c r="AC43"/>
      <c r="AD43"/>
      <c r="AE43"/>
      <c r="AF43"/>
      <c r="AG43"/>
      <c r="AH43"/>
      <c r="AI43"/>
      <c r="AJ43"/>
      <c r="AK43"/>
      <c r="AL43"/>
      <c r="AM43"/>
      <c r="AN43"/>
      <c r="AO43"/>
      <c r="AP43"/>
      <c r="AQ43"/>
      <c r="AR43"/>
      <c r="AS43"/>
      <c r="AT43"/>
      <c r="AU43"/>
      <c r="AV43"/>
      <c r="AW43"/>
      <c r="AX43"/>
      <c r="AY43"/>
    </row>
    <row r="44" spans="1:51" s="35" customFormat="1" ht="18" customHeight="1" x14ac:dyDescent="0.25">
      <c r="A44" s="2">
        <f t="shared" si="0"/>
        <v>39</v>
      </c>
      <c r="C44" s="1"/>
      <c r="D44" s="1"/>
      <c r="E44" s="1"/>
      <c r="F44" s="1"/>
      <c r="G44" s="1"/>
      <c r="H44" s="1"/>
      <c r="I44" s="1"/>
      <c r="J44" s="1"/>
      <c r="K44" s="1"/>
      <c r="L44" s="1"/>
      <c r="M44" s="1"/>
      <c r="N44" s="1"/>
      <c r="O44" s="1"/>
      <c r="P44" s="1"/>
      <c r="Q44" s="1"/>
      <c r="T44" s="1"/>
      <c r="U44"/>
      <c r="V44"/>
      <c r="W44"/>
      <c r="X44"/>
      <c r="Y44"/>
      <c r="Z44"/>
      <c r="AA44"/>
      <c r="AB44"/>
      <c r="AC44"/>
      <c r="AD44"/>
      <c r="AE44"/>
      <c r="AF44"/>
      <c r="AG44"/>
      <c r="AH44"/>
      <c r="AI44"/>
      <c r="AJ44"/>
      <c r="AK44"/>
      <c r="AL44"/>
      <c r="AM44"/>
      <c r="AN44"/>
      <c r="AO44"/>
      <c r="AP44"/>
      <c r="AQ44"/>
      <c r="AR44"/>
      <c r="AS44"/>
      <c r="AT44"/>
      <c r="AU44"/>
      <c r="AV44"/>
      <c r="AW44"/>
      <c r="AX44"/>
      <c r="AY44"/>
    </row>
    <row r="45" spans="1:51" s="35" customFormat="1" ht="18" customHeight="1" x14ac:dyDescent="0.25">
      <c r="A45" s="2">
        <f t="shared" si="0"/>
        <v>40</v>
      </c>
      <c r="K45" s="1"/>
      <c r="T45" s="1"/>
      <c r="U45"/>
      <c r="V45"/>
      <c r="W45"/>
      <c r="X45"/>
      <c r="Y45"/>
      <c r="Z45"/>
      <c r="AA45"/>
      <c r="AB45"/>
      <c r="AC45"/>
      <c r="AD45"/>
      <c r="AE45"/>
      <c r="AF45"/>
      <c r="AG45"/>
      <c r="AH45"/>
      <c r="AI45"/>
      <c r="AJ45"/>
      <c r="AK45"/>
      <c r="AL45"/>
      <c r="AM45"/>
      <c r="AN45"/>
      <c r="AO45"/>
      <c r="AP45"/>
      <c r="AQ45"/>
      <c r="AR45"/>
      <c r="AS45"/>
      <c r="AT45"/>
      <c r="AU45"/>
      <c r="AV45"/>
      <c r="AW45"/>
      <c r="AX45"/>
      <c r="AY45"/>
    </row>
    <row r="46" spans="1:51" s="35" customFormat="1" ht="18" customHeight="1" x14ac:dyDescent="0.25">
      <c r="A46" s="2">
        <f t="shared" si="0"/>
        <v>41</v>
      </c>
      <c r="C46" s="1"/>
      <c r="D46" s="1"/>
      <c r="E46" s="1"/>
      <c r="F46" s="1"/>
      <c r="G46" s="1"/>
      <c r="H46" s="1"/>
      <c r="I46" s="1"/>
      <c r="J46" s="1"/>
      <c r="K46" s="1"/>
      <c r="L46" s="1"/>
      <c r="M46" s="1"/>
      <c r="N46" s="1"/>
      <c r="O46" s="1"/>
      <c r="P46" s="1"/>
      <c r="Q46" s="1"/>
      <c r="T46" s="1"/>
      <c r="U46"/>
      <c r="V46"/>
      <c r="W46"/>
      <c r="X46"/>
      <c r="Y46"/>
      <c r="Z46"/>
      <c r="AA46"/>
      <c r="AB46"/>
      <c r="AC46"/>
      <c r="AD46"/>
      <c r="AE46"/>
      <c r="AF46"/>
      <c r="AG46"/>
      <c r="AH46"/>
      <c r="AI46"/>
      <c r="AJ46"/>
      <c r="AK46"/>
      <c r="AL46"/>
      <c r="AM46"/>
      <c r="AN46"/>
      <c r="AO46"/>
      <c r="AP46"/>
      <c r="AQ46"/>
      <c r="AR46"/>
      <c r="AS46"/>
      <c r="AT46"/>
      <c r="AU46"/>
      <c r="AV46"/>
      <c r="AW46"/>
      <c r="AX46"/>
      <c r="AY46"/>
    </row>
    <row r="47" spans="1:51" s="35" customFormat="1" ht="24.75" customHeight="1" thickBot="1" x14ac:dyDescent="0.55000000000000004">
      <c r="A47" s="2">
        <f t="shared" si="0"/>
        <v>42</v>
      </c>
      <c r="C47" s="19" t="str">
        <f>+IF($K$1="EN",Text!B9,Text!C9)</f>
        <v>Electricity Generation</v>
      </c>
      <c r="D47" s="30"/>
      <c r="E47" s="30"/>
      <c r="F47" s="30"/>
      <c r="G47" s="30"/>
      <c r="H47" s="30"/>
      <c r="I47" s="30"/>
      <c r="J47" s="30"/>
      <c r="K47" s="1"/>
      <c r="L47" s="610" t="str">
        <f>+IF($K$1="EN",Text!$B$10,Text!$C$10)</f>
        <v>Generation by Region and Technology</v>
      </c>
      <c r="M47" s="610"/>
      <c r="N47" s="610"/>
      <c r="O47" s="610"/>
      <c r="P47" s="610"/>
      <c r="Q47" s="610"/>
      <c r="T47" s="1"/>
      <c r="U47"/>
      <c r="V47"/>
      <c r="W47"/>
      <c r="X47"/>
      <c r="Y47"/>
      <c r="Z47"/>
      <c r="AA47"/>
      <c r="AB47"/>
      <c r="AC47"/>
      <c r="AD47"/>
      <c r="AE47"/>
      <c r="AF47"/>
      <c r="AG47"/>
      <c r="AH47"/>
      <c r="AI47"/>
      <c r="AJ47"/>
      <c r="AK47"/>
      <c r="AL47"/>
      <c r="AM47"/>
      <c r="AN47"/>
      <c r="AO47"/>
      <c r="AP47"/>
      <c r="AQ47"/>
      <c r="AR47"/>
      <c r="AS47"/>
      <c r="AT47"/>
      <c r="AU47"/>
      <c r="AV47"/>
      <c r="AW47"/>
      <c r="AX47"/>
      <c r="AY47"/>
    </row>
    <row r="48" spans="1:51" s="35" customFormat="1" ht="18" customHeight="1" x14ac:dyDescent="0.25">
      <c r="A48" s="2">
        <f t="shared" si="0"/>
        <v>43</v>
      </c>
      <c r="K48" s="1"/>
      <c r="L48" s="1"/>
      <c r="M48" s="1"/>
      <c r="N48" s="1"/>
      <c r="O48" s="1"/>
      <c r="P48" s="1"/>
      <c r="Q48" s="1"/>
      <c r="T48" s="1"/>
      <c r="U48"/>
      <c r="V48"/>
      <c r="W48"/>
      <c r="X48"/>
      <c r="Y48"/>
      <c r="Z48"/>
      <c r="AA48"/>
      <c r="AB48"/>
      <c r="AC48"/>
      <c r="AD48"/>
      <c r="AE48"/>
      <c r="AF48"/>
      <c r="AG48"/>
      <c r="AH48"/>
      <c r="AI48"/>
      <c r="AJ48"/>
      <c r="AK48"/>
      <c r="AL48"/>
      <c r="AM48"/>
      <c r="AN48"/>
      <c r="AO48"/>
      <c r="AP48"/>
      <c r="AQ48"/>
      <c r="AR48"/>
      <c r="AS48"/>
      <c r="AT48"/>
      <c r="AU48"/>
      <c r="AV48"/>
      <c r="AW48"/>
      <c r="AX48"/>
      <c r="AY48"/>
    </row>
    <row r="49" spans="1:51" s="35" customFormat="1" ht="18" customHeight="1" x14ac:dyDescent="0.25">
      <c r="A49" s="2">
        <f t="shared" si="0"/>
        <v>44</v>
      </c>
      <c r="C49" s="44" t="e">
        <f>+IF($K$1="EN",Text!#REF!,Text!#REF!)</f>
        <v>#REF!</v>
      </c>
      <c r="D49" s="15"/>
      <c r="E49" s="15"/>
      <c r="F49" s="15"/>
      <c r="G49" s="15"/>
      <c r="H49" s="26" t="e">
        <f>+CURPEN</f>
        <v>#NAME?</v>
      </c>
      <c r="I49" s="43" t="e">
        <f>+COMP</f>
        <v>#NAME?</v>
      </c>
      <c r="J49" s="42" t="s">
        <v>13</v>
      </c>
      <c r="K49" s="1"/>
      <c r="L49" s="1"/>
      <c r="M49" s="1"/>
      <c r="N49" s="1"/>
      <c r="O49" s="1"/>
      <c r="P49" s="1"/>
      <c r="Q49" s="1"/>
      <c r="T49" s="1"/>
      <c r="U49"/>
      <c r="V49"/>
      <c r="W49"/>
      <c r="X49"/>
      <c r="Y49"/>
      <c r="Z49"/>
      <c r="AA49"/>
      <c r="AB49"/>
      <c r="AC49"/>
      <c r="AD49"/>
      <c r="AE49"/>
      <c r="AF49"/>
      <c r="AG49"/>
      <c r="AH49"/>
      <c r="AI49"/>
      <c r="AJ49"/>
      <c r="AK49"/>
      <c r="AL49"/>
      <c r="AM49"/>
      <c r="AN49"/>
      <c r="AO49"/>
      <c r="AP49"/>
      <c r="AQ49"/>
      <c r="AR49"/>
      <c r="AS49"/>
      <c r="AT49"/>
      <c r="AU49"/>
      <c r="AV49"/>
      <c r="AW49"/>
      <c r="AX49"/>
      <c r="AY49"/>
    </row>
    <row r="50" spans="1:51" s="35" customFormat="1" ht="18" customHeight="1" x14ac:dyDescent="0.25">
      <c r="A50" s="2">
        <f t="shared" si="0"/>
        <v>45</v>
      </c>
      <c r="C50" s="13" t="str">
        <f>+IF($K$1="EN",Text!$B$28,Text!$C$28)</f>
        <v>Spain</v>
      </c>
      <c r="D50" s="51"/>
      <c r="E50" s="51"/>
      <c r="F50" s="51"/>
      <c r="G50" s="51"/>
      <c r="H50" s="59"/>
      <c r="I50" s="23"/>
      <c r="J50" s="58"/>
      <c r="K50" s="1"/>
      <c r="L50" s="1"/>
      <c r="M50" s="1"/>
      <c r="N50" s="1"/>
      <c r="O50" s="1"/>
      <c r="P50" s="1"/>
      <c r="Q50" s="1"/>
      <c r="T50" s="1"/>
      <c r="U50"/>
      <c r="V50"/>
      <c r="W50"/>
      <c r="X50"/>
      <c r="Y50"/>
      <c r="Z50"/>
      <c r="AA50"/>
      <c r="AB50"/>
      <c r="AC50"/>
      <c r="AD50"/>
      <c r="AE50"/>
      <c r="AF50"/>
      <c r="AG50"/>
      <c r="AH50"/>
      <c r="AI50"/>
      <c r="AJ50"/>
      <c r="AK50"/>
      <c r="AL50"/>
      <c r="AM50"/>
      <c r="AN50"/>
      <c r="AO50"/>
      <c r="AP50"/>
      <c r="AQ50"/>
      <c r="AR50"/>
      <c r="AS50"/>
      <c r="AT50"/>
      <c r="AU50"/>
      <c r="AV50"/>
      <c r="AW50"/>
      <c r="AX50"/>
      <c r="AY50"/>
    </row>
    <row r="51" spans="1:51" s="35" customFormat="1" ht="18" customHeight="1" x14ac:dyDescent="0.25">
      <c r="A51" s="2">
        <f t="shared" si="0"/>
        <v>46</v>
      </c>
      <c r="C51" s="13" t="str">
        <f>+IF($K$1="EN",Text!$B$29,Text!$C$29)</f>
        <v>Portugal</v>
      </c>
      <c r="D51" s="51"/>
      <c r="E51" s="51"/>
      <c r="F51" s="51"/>
      <c r="G51" s="51"/>
      <c r="H51" s="59"/>
      <c r="I51" s="23"/>
      <c r="J51" s="58"/>
      <c r="K51" s="1"/>
      <c r="L51" s="1"/>
      <c r="M51" s="1"/>
      <c r="N51" s="1"/>
      <c r="O51" s="1"/>
      <c r="P51" s="1"/>
      <c r="Q51" s="1"/>
      <c r="T51" s="1"/>
      <c r="U51"/>
      <c r="V51"/>
      <c r="W51"/>
      <c r="X51"/>
      <c r="Y51"/>
      <c r="Z51"/>
      <c r="AA51"/>
      <c r="AB51"/>
      <c r="AC51"/>
      <c r="AD51"/>
      <c r="AE51"/>
      <c r="AF51"/>
      <c r="AG51"/>
      <c r="AH51"/>
      <c r="AI51"/>
      <c r="AJ51"/>
      <c r="AK51"/>
      <c r="AL51"/>
      <c r="AM51"/>
      <c r="AN51"/>
      <c r="AO51"/>
      <c r="AP51"/>
      <c r="AQ51"/>
      <c r="AR51"/>
      <c r="AS51"/>
      <c r="AT51"/>
      <c r="AU51"/>
      <c r="AV51"/>
      <c r="AW51"/>
      <c r="AX51"/>
      <c r="AY51"/>
    </row>
    <row r="52" spans="1:51" s="35" customFormat="1" ht="18" customHeight="1" x14ac:dyDescent="0.25">
      <c r="A52" s="2">
        <f t="shared" si="0"/>
        <v>47</v>
      </c>
      <c r="C52" s="13" t="str">
        <f>+IF($K$1="EN",Text!$B$30,Text!$C$30)</f>
        <v>Rest of Europe</v>
      </c>
      <c r="D52" s="51"/>
      <c r="E52" s="51"/>
      <c r="F52" s="51"/>
      <c r="G52" s="51"/>
      <c r="H52" s="59"/>
      <c r="I52" s="23"/>
      <c r="J52" s="58"/>
      <c r="K52" s="1"/>
      <c r="L52" s="1"/>
      <c r="M52" s="1"/>
      <c r="P52" s="1"/>
      <c r="Q52" s="1"/>
      <c r="T52" s="1"/>
      <c r="U52"/>
      <c r="V52"/>
      <c r="W52"/>
      <c r="X52"/>
      <c r="Y52"/>
      <c r="Z52"/>
      <c r="AA52"/>
      <c r="AB52"/>
      <c r="AC52"/>
      <c r="AD52"/>
      <c r="AE52"/>
      <c r="AF52"/>
      <c r="AG52"/>
      <c r="AH52"/>
      <c r="AI52"/>
      <c r="AJ52"/>
      <c r="AK52"/>
      <c r="AL52"/>
      <c r="AM52"/>
      <c r="AN52"/>
      <c r="AO52"/>
      <c r="AP52"/>
      <c r="AQ52"/>
      <c r="AR52"/>
      <c r="AS52"/>
      <c r="AT52"/>
      <c r="AU52"/>
      <c r="AV52"/>
      <c r="AW52"/>
      <c r="AX52"/>
      <c r="AY52"/>
    </row>
    <row r="53" spans="1:51" s="35" customFormat="1" ht="18" customHeight="1" x14ac:dyDescent="0.25">
      <c r="A53" s="2">
        <f t="shared" si="0"/>
        <v>48</v>
      </c>
      <c r="C53" s="12" t="str">
        <f>+IF($K$1="EN",Text!$B$27,Text!$C$27)</f>
        <v>Europe</v>
      </c>
      <c r="D53" s="12"/>
      <c r="E53" s="12"/>
      <c r="F53" s="12"/>
      <c r="G53" s="12"/>
      <c r="H53" s="57" t="b">
        <f>ROUND(EN!H55,2)=ROUND(SUM(EN!H49:H54),2)</f>
        <v>0</v>
      </c>
      <c r="I53" s="56" t="b">
        <f>ROUND(EN!I55,2)=ROUND(SUM(EN!I49:I54),2)</f>
        <v>0</v>
      </c>
      <c r="J53" s="55"/>
      <c r="K53" s="1"/>
      <c r="L53" s="1"/>
      <c r="M53" s="1"/>
      <c r="P53" s="1"/>
      <c r="Q53" s="1"/>
      <c r="S53" s="115" t="s">
        <v>187</v>
      </c>
      <c r="T53" s="1"/>
      <c r="U53"/>
      <c r="V53"/>
      <c r="W53"/>
      <c r="X53"/>
      <c r="Y53"/>
      <c r="Z53"/>
      <c r="AA53"/>
      <c r="AB53"/>
      <c r="AC53"/>
      <c r="AD53"/>
      <c r="AE53"/>
      <c r="AF53"/>
      <c r="AG53"/>
      <c r="AH53"/>
      <c r="AI53"/>
      <c r="AJ53"/>
      <c r="AK53"/>
      <c r="AL53"/>
      <c r="AM53"/>
      <c r="AN53"/>
      <c r="AO53"/>
      <c r="AP53"/>
      <c r="AQ53"/>
      <c r="AR53"/>
      <c r="AS53"/>
      <c r="AT53"/>
      <c r="AU53"/>
      <c r="AV53"/>
      <c r="AW53"/>
      <c r="AX53"/>
      <c r="AY53"/>
    </row>
    <row r="54" spans="1:51" s="35" customFormat="1" ht="18" customHeight="1" x14ac:dyDescent="0.25">
      <c r="A54" s="2">
        <f t="shared" si="0"/>
        <v>49</v>
      </c>
      <c r="C54" s="13" t="str">
        <f>+IF($K$1="EN",Text!$B$35,Text!$C$35)</f>
        <v>US</v>
      </c>
      <c r="D54" s="51"/>
      <c r="E54" s="51"/>
      <c r="F54" s="51"/>
      <c r="G54" s="51"/>
      <c r="H54" s="59"/>
      <c r="I54" s="23"/>
      <c r="J54" s="58"/>
      <c r="K54" s="1"/>
      <c r="L54" s="1"/>
      <c r="M54" s="1"/>
      <c r="N54" s="606" t="e">
        <f>ROUND(H62/1000,1)&amp;" TWh"</f>
        <v>#REF!</v>
      </c>
      <c r="O54" s="606"/>
      <c r="P54" s="29"/>
      <c r="T54" s="1"/>
      <c r="U54"/>
      <c r="V54"/>
      <c r="W54"/>
      <c r="X54"/>
      <c r="Y54"/>
      <c r="Z54"/>
      <c r="AA54"/>
      <c r="AB54"/>
      <c r="AC54"/>
      <c r="AD54"/>
      <c r="AE54"/>
      <c r="AF54"/>
      <c r="AG54"/>
      <c r="AH54"/>
      <c r="AI54"/>
      <c r="AJ54"/>
      <c r="AK54"/>
      <c r="AL54"/>
      <c r="AM54"/>
      <c r="AN54"/>
      <c r="AO54"/>
      <c r="AP54"/>
      <c r="AQ54"/>
      <c r="AR54"/>
      <c r="AS54"/>
      <c r="AT54"/>
      <c r="AU54"/>
      <c r="AV54"/>
      <c r="AW54"/>
      <c r="AX54"/>
      <c r="AY54"/>
    </row>
    <row r="55" spans="1:51" s="35" customFormat="1" ht="18" customHeight="1" x14ac:dyDescent="0.25">
      <c r="A55" s="2">
        <f t="shared" si="0"/>
        <v>50</v>
      </c>
      <c r="C55" s="13" t="str">
        <f>+IF($K$1="EN",Text!$B$36,Text!$C$36)</f>
        <v>Canada</v>
      </c>
      <c r="D55" s="1"/>
      <c r="E55" s="1"/>
      <c r="F55" s="1"/>
      <c r="G55" s="1"/>
      <c r="H55" s="59"/>
      <c r="I55" s="23"/>
      <c r="J55" s="58"/>
      <c r="K55" s="1"/>
      <c r="L55" s="1"/>
      <c r="M55" s="1"/>
      <c r="N55" s="606"/>
      <c r="O55" s="606"/>
      <c r="P55" s="29"/>
      <c r="T55" s="1"/>
      <c r="U55"/>
      <c r="V55"/>
      <c r="W55"/>
      <c r="X55"/>
      <c r="Y55"/>
      <c r="Z55"/>
      <c r="AA55"/>
      <c r="AB55"/>
      <c r="AC55"/>
      <c r="AD55"/>
      <c r="AE55"/>
      <c r="AF55"/>
      <c r="AG55"/>
      <c r="AH55"/>
      <c r="AI55"/>
      <c r="AJ55"/>
      <c r="AK55"/>
      <c r="AL55"/>
      <c r="AM55"/>
      <c r="AN55"/>
      <c r="AO55"/>
      <c r="AP55"/>
      <c r="AQ55"/>
      <c r="AR55"/>
      <c r="AS55"/>
      <c r="AT55"/>
      <c r="AU55"/>
      <c r="AV55"/>
      <c r="AW55"/>
      <c r="AX55"/>
      <c r="AY55"/>
    </row>
    <row r="56" spans="1:51" s="35" customFormat="1" ht="18" customHeight="1" x14ac:dyDescent="0.25">
      <c r="A56" s="2">
        <f t="shared" si="0"/>
        <v>51</v>
      </c>
      <c r="C56" s="13" t="str">
        <f>+IF($K$1="EN",Text!$B$37,Text!$C$37)</f>
        <v>Mexico</v>
      </c>
      <c r="D56" s="1"/>
      <c r="E56" s="1"/>
      <c r="F56" s="1"/>
      <c r="G56" s="1"/>
      <c r="H56" s="59"/>
      <c r="I56" s="23"/>
      <c r="J56" s="58"/>
      <c r="K56" s="1"/>
      <c r="L56" s="1"/>
      <c r="M56" s="1"/>
      <c r="P56" s="1"/>
      <c r="Q56" s="1"/>
      <c r="U56"/>
      <c r="V56"/>
      <c r="W56"/>
      <c r="X56"/>
      <c r="Y56"/>
      <c r="Z56"/>
      <c r="AA56"/>
      <c r="AB56"/>
      <c r="AC56"/>
      <c r="AD56"/>
      <c r="AE56"/>
      <c r="AF56"/>
      <c r="AG56"/>
      <c r="AH56"/>
      <c r="AI56"/>
      <c r="AJ56"/>
      <c r="AK56"/>
      <c r="AL56"/>
      <c r="AM56"/>
      <c r="AN56"/>
      <c r="AO56"/>
      <c r="AP56"/>
      <c r="AQ56"/>
      <c r="AR56"/>
      <c r="AS56"/>
      <c r="AT56"/>
      <c r="AU56"/>
      <c r="AV56"/>
      <c r="AW56"/>
      <c r="AX56"/>
      <c r="AY56"/>
    </row>
    <row r="57" spans="1:51" s="35" customFormat="1" ht="18" customHeight="1" x14ac:dyDescent="0.25">
      <c r="A57" s="2">
        <f t="shared" si="0"/>
        <v>52</v>
      </c>
      <c r="C57" s="12" t="str">
        <f>+IF($K$1="EN",Text!$B$34,Text!$C$34)</f>
        <v>North America</v>
      </c>
      <c r="D57" s="11"/>
      <c r="E57" s="11"/>
      <c r="F57" s="11"/>
      <c r="G57" s="11"/>
      <c r="H57" s="57" t="b">
        <f>ROUND(EN!H58,2)=ROUND(SUM(EN!H56:H57),2)</f>
        <v>0</v>
      </c>
      <c r="I57" s="56" t="b">
        <f>ROUND(EN!I58,2)=ROUND(SUM(EN!I56:I57),2)</f>
        <v>0</v>
      </c>
      <c r="J57" s="55"/>
      <c r="K57" s="1"/>
      <c r="L57" s="1"/>
      <c r="M57" s="1"/>
      <c r="N57" s="1"/>
      <c r="O57" s="1"/>
      <c r="P57" s="1"/>
      <c r="Q57" s="1"/>
      <c r="S57" s="115" t="s">
        <v>187</v>
      </c>
      <c r="U57"/>
      <c r="V57"/>
      <c r="W57"/>
      <c r="X57"/>
      <c r="Y57"/>
      <c r="Z57"/>
      <c r="AA57"/>
      <c r="AB57"/>
      <c r="AC57"/>
      <c r="AD57"/>
      <c r="AE57"/>
      <c r="AF57"/>
      <c r="AG57"/>
      <c r="AH57"/>
      <c r="AI57"/>
      <c r="AJ57"/>
      <c r="AK57"/>
      <c r="AL57"/>
      <c r="AM57"/>
      <c r="AN57"/>
      <c r="AO57"/>
      <c r="AP57"/>
      <c r="AQ57"/>
      <c r="AR57"/>
      <c r="AS57"/>
      <c r="AT57"/>
      <c r="AU57"/>
      <c r="AV57"/>
      <c r="AW57"/>
      <c r="AX57"/>
      <c r="AY57"/>
    </row>
    <row r="58" spans="1:51" s="35" customFormat="1" ht="18" customHeight="1" x14ac:dyDescent="0.25">
      <c r="A58" s="2">
        <f t="shared" si="0"/>
        <v>53</v>
      </c>
      <c r="C58" s="13" t="str">
        <f>+IF($K$1="EN",Text!$B$42,Text!$C$42)</f>
        <v>Brazil &amp; Chile</v>
      </c>
      <c r="D58" s="1"/>
      <c r="E58" s="1"/>
      <c r="F58" s="1"/>
      <c r="G58" s="1"/>
      <c r="H58" s="59"/>
      <c r="I58" s="23"/>
      <c r="J58" s="58"/>
      <c r="K58" s="1"/>
      <c r="L58" s="1"/>
      <c r="M58" s="1"/>
      <c r="N58" s="1"/>
      <c r="O58" s="1"/>
      <c r="P58" s="1"/>
      <c r="Q58" s="1"/>
      <c r="U58"/>
      <c r="V58"/>
      <c r="W58"/>
      <c r="X58"/>
      <c r="Y58"/>
      <c r="Z58"/>
      <c r="AA58"/>
      <c r="AB58"/>
      <c r="AC58"/>
      <c r="AD58"/>
      <c r="AE58"/>
      <c r="AF58"/>
      <c r="AG58"/>
      <c r="AH58"/>
      <c r="AI58"/>
      <c r="AJ58"/>
      <c r="AK58"/>
      <c r="AL58"/>
      <c r="AM58"/>
      <c r="AN58"/>
      <c r="AO58"/>
      <c r="AP58"/>
      <c r="AQ58"/>
      <c r="AR58"/>
      <c r="AS58"/>
      <c r="AT58"/>
      <c r="AU58"/>
      <c r="AV58"/>
      <c r="AW58"/>
      <c r="AX58"/>
      <c r="AY58"/>
    </row>
    <row r="59" spans="1:51" s="35" customFormat="1" ht="18" customHeight="1" x14ac:dyDescent="0.25">
      <c r="A59" s="2">
        <f t="shared" si="0"/>
        <v>54</v>
      </c>
      <c r="C59" s="12" t="str">
        <f>+IF($K$1="EN",Text!$B$40,Text!$C$40)</f>
        <v>South America</v>
      </c>
      <c r="D59" s="12"/>
      <c r="E59" s="12"/>
      <c r="F59" s="12"/>
      <c r="G59" s="12"/>
      <c r="H59" s="57" t="e">
        <f>ROUND(EN!H59,2)=ROUND(SUM(EN!#REF!),2)</f>
        <v>#REF!</v>
      </c>
      <c r="I59" s="56" t="e">
        <f>ROUND(EN!I59,2)=ROUND(SUM(EN!#REF!),2)</f>
        <v>#REF!</v>
      </c>
      <c r="J59" s="55"/>
      <c r="K59" s="1"/>
      <c r="L59" s="1"/>
      <c r="M59" s="1"/>
      <c r="N59" s="1"/>
      <c r="O59" s="1"/>
      <c r="P59" s="1"/>
      <c r="Q59" s="1"/>
      <c r="S59" s="115" t="s">
        <v>187</v>
      </c>
      <c r="U59"/>
      <c r="V59"/>
      <c r="W59"/>
      <c r="X59"/>
      <c r="Y59"/>
      <c r="Z59"/>
      <c r="AA59"/>
      <c r="AB59"/>
      <c r="AC59"/>
      <c r="AD59"/>
      <c r="AE59"/>
      <c r="AF59"/>
      <c r="AG59"/>
      <c r="AH59"/>
      <c r="AI59"/>
      <c r="AJ59"/>
      <c r="AK59"/>
      <c r="AL59"/>
      <c r="AM59"/>
      <c r="AN59"/>
      <c r="AO59"/>
      <c r="AP59"/>
      <c r="AQ59"/>
      <c r="AR59"/>
      <c r="AS59"/>
      <c r="AT59"/>
      <c r="AU59"/>
      <c r="AV59"/>
      <c r="AW59"/>
      <c r="AX59"/>
      <c r="AY59"/>
    </row>
    <row r="60" spans="1:51" s="35" customFormat="1" ht="18" customHeight="1" x14ac:dyDescent="0.25">
      <c r="A60" s="2">
        <f t="shared" si="0"/>
        <v>55</v>
      </c>
      <c r="H60" s="59"/>
      <c r="K60" s="1"/>
      <c r="L60" s="1"/>
      <c r="M60" s="1"/>
      <c r="N60" s="1"/>
      <c r="O60" s="1"/>
      <c r="P60" s="1"/>
      <c r="Q60" s="1"/>
      <c r="S60" s="115" t="s">
        <v>187</v>
      </c>
      <c r="U60"/>
      <c r="V60"/>
      <c r="W60"/>
      <c r="X60"/>
      <c r="Y60"/>
      <c r="Z60"/>
      <c r="AA60"/>
      <c r="AB60"/>
      <c r="AC60"/>
      <c r="AD60"/>
      <c r="AE60"/>
      <c r="AF60"/>
      <c r="AG60"/>
      <c r="AH60"/>
      <c r="AI60"/>
      <c r="AJ60"/>
      <c r="AK60"/>
      <c r="AL60"/>
      <c r="AM60"/>
      <c r="AN60"/>
      <c r="AO60"/>
      <c r="AP60"/>
      <c r="AQ60"/>
      <c r="AR60"/>
      <c r="AS60"/>
      <c r="AT60"/>
      <c r="AU60"/>
      <c r="AV60"/>
      <c r="AW60"/>
      <c r="AX60"/>
      <c r="AY60"/>
    </row>
    <row r="61" spans="1:51" s="35" customFormat="1" ht="18" customHeight="1" x14ac:dyDescent="0.25">
      <c r="A61" s="2">
        <f t="shared" si="0"/>
        <v>56</v>
      </c>
      <c r="C61" s="12" t="str">
        <f>+IF($K$1="EN",Text!$B$40,Text!$C$40)</f>
        <v>South America</v>
      </c>
      <c r="D61" s="12"/>
      <c r="E61" s="12"/>
      <c r="F61" s="12"/>
      <c r="G61" s="12"/>
      <c r="H61" s="57" t="e">
        <f>ROUND(EN!#REF!,2)=ROUND(SUM(EN!U142:U142),2)</f>
        <v>#REF!</v>
      </c>
      <c r="I61" s="56" t="e">
        <f>ROUND(EN!#REF!,2)=ROUND(SUM(EN!V142:V142),2)</f>
        <v>#REF!</v>
      </c>
      <c r="J61" s="55"/>
      <c r="K61" s="1"/>
      <c r="L61" s="1"/>
      <c r="M61" s="1"/>
      <c r="N61" s="1"/>
      <c r="O61" s="1"/>
      <c r="P61" s="1"/>
      <c r="Q61" s="1"/>
      <c r="U61"/>
      <c r="V61"/>
      <c r="W61"/>
      <c r="X61"/>
      <c r="Y61"/>
      <c r="Z61"/>
      <c r="AA61"/>
      <c r="AB61"/>
      <c r="AC61"/>
      <c r="AD61"/>
      <c r="AE61"/>
      <c r="AF61"/>
      <c r="AG61"/>
      <c r="AH61"/>
      <c r="AI61"/>
      <c r="AJ61"/>
      <c r="AK61"/>
      <c r="AL61"/>
      <c r="AM61"/>
      <c r="AN61"/>
      <c r="AO61"/>
      <c r="AP61"/>
      <c r="AQ61"/>
      <c r="AR61"/>
      <c r="AS61"/>
      <c r="AT61"/>
      <c r="AU61"/>
      <c r="AV61"/>
      <c r="AW61"/>
      <c r="AX61"/>
      <c r="AY61"/>
    </row>
    <row r="62" spans="1:51" s="35" customFormat="1" ht="18" customHeight="1" x14ac:dyDescent="0.25">
      <c r="A62" s="2">
        <f t="shared" si="0"/>
        <v>57</v>
      </c>
      <c r="C62" s="10" t="e">
        <f>+IF($K$1="EN",Text!#REF!,Text!#REF!)</f>
        <v>#REF!</v>
      </c>
      <c r="D62" s="10"/>
      <c r="E62" s="10"/>
      <c r="F62" s="10"/>
      <c r="G62" s="10"/>
      <c r="H62" s="54" t="e">
        <f>ROUND(EN!H64,2)=ROUND(EN!H55+EN!H58+EN!H59+EN!#REF!,2)</f>
        <v>#REF!</v>
      </c>
      <c r="I62" s="53" t="b">
        <f>ROUND(EN!I64,2)=ROUND(EN!I55+EN!I58+EN!I59,2)</f>
        <v>0</v>
      </c>
      <c r="J62" s="52"/>
      <c r="K62" s="1"/>
      <c r="L62" s="1"/>
      <c r="M62" s="1"/>
      <c r="N62" s="1"/>
      <c r="O62" s="1"/>
      <c r="P62" s="1"/>
      <c r="Q62" s="1"/>
      <c r="U62"/>
      <c r="V62"/>
      <c r="W62"/>
      <c r="X62"/>
      <c r="Y62"/>
      <c r="Z62"/>
      <c r="AA62"/>
      <c r="AB62"/>
      <c r="AC62"/>
      <c r="AD62"/>
      <c r="AE62"/>
      <c r="AF62"/>
      <c r="AG62"/>
      <c r="AH62"/>
      <c r="AI62"/>
      <c r="AJ62"/>
      <c r="AK62"/>
      <c r="AL62"/>
      <c r="AM62"/>
      <c r="AN62"/>
      <c r="AO62"/>
      <c r="AP62"/>
      <c r="AQ62"/>
      <c r="AR62"/>
      <c r="AS62"/>
      <c r="AT62"/>
      <c r="AU62"/>
      <c r="AV62"/>
      <c r="AW62"/>
      <c r="AX62"/>
      <c r="AY62"/>
    </row>
    <row r="63" spans="1:51" s="35" customFormat="1" ht="18" customHeight="1" x14ac:dyDescent="0.25">
      <c r="A63" s="2">
        <f t="shared" si="0"/>
        <v>58</v>
      </c>
      <c r="C63" s="1"/>
      <c r="D63" s="1"/>
      <c r="E63" s="1"/>
      <c r="F63" s="1"/>
      <c r="G63" s="1"/>
      <c r="H63" s="1"/>
      <c r="I63" s="1"/>
      <c r="J63" s="1"/>
      <c r="K63" s="1"/>
      <c r="L63" s="1"/>
      <c r="M63" s="1"/>
      <c r="N63" s="1"/>
      <c r="O63" s="1"/>
      <c r="P63" s="1"/>
      <c r="Q63" s="1"/>
      <c r="U63"/>
      <c r="V63"/>
      <c r="W63"/>
      <c r="X63"/>
      <c r="Y63"/>
      <c r="Z63"/>
      <c r="AA63"/>
      <c r="AB63"/>
      <c r="AC63"/>
      <c r="AD63"/>
      <c r="AE63"/>
      <c r="AF63"/>
      <c r="AG63"/>
      <c r="AH63"/>
      <c r="AI63"/>
      <c r="AJ63"/>
      <c r="AK63"/>
      <c r="AL63"/>
      <c r="AM63"/>
      <c r="AN63"/>
      <c r="AO63"/>
      <c r="AP63"/>
      <c r="AQ63"/>
      <c r="AR63"/>
      <c r="AS63"/>
      <c r="AT63"/>
      <c r="AU63"/>
      <c r="AV63"/>
      <c r="AW63"/>
      <c r="AX63"/>
      <c r="AY63"/>
    </row>
    <row r="64" spans="1:51" s="35" customFormat="1" ht="18" customHeight="1" x14ac:dyDescent="0.25">
      <c r="A64" s="2">
        <f t="shared" si="0"/>
        <v>59</v>
      </c>
      <c r="U64"/>
      <c r="V64"/>
      <c r="W64"/>
      <c r="X64"/>
      <c r="Y64"/>
      <c r="Z64"/>
      <c r="AA64"/>
      <c r="AB64"/>
      <c r="AC64"/>
      <c r="AD64"/>
      <c r="AE64"/>
      <c r="AF64"/>
      <c r="AG64"/>
      <c r="AH64"/>
      <c r="AI64"/>
      <c r="AJ64"/>
      <c r="AK64"/>
      <c r="AL64"/>
      <c r="AM64"/>
      <c r="AN64"/>
      <c r="AO64"/>
      <c r="AP64"/>
      <c r="AQ64"/>
      <c r="AR64"/>
      <c r="AS64"/>
      <c r="AT64"/>
      <c r="AU64"/>
      <c r="AV64"/>
      <c r="AW64"/>
      <c r="AX64"/>
      <c r="AY64"/>
    </row>
    <row r="65" spans="1:51" s="35" customFormat="1" ht="18" customHeight="1" x14ac:dyDescent="0.25">
      <c r="A65" s="2">
        <f t="shared" si="0"/>
        <v>60</v>
      </c>
      <c r="K65" s="1"/>
      <c r="L65" s="1"/>
      <c r="M65" s="1"/>
      <c r="N65" s="1"/>
      <c r="O65" s="1"/>
      <c r="P65" s="1"/>
      <c r="Q65" s="1"/>
      <c r="U65"/>
      <c r="V65"/>
      <c r="W65"/>
      <c r="X65"/>
      <c r="Y65"/>
      <c r="Z65"/>
      <c r="AA65"/>
      <c r="AB65"/>
      <c r="AC65"/>
      <c r="AD65"/>
      <c r="AE65"/>
      <c r="AF65"/>
      <c r="AG65"/>
      <c r="AH65"/>
      <c r="AI65"/>
      <c r="AJ65"/>
      <c r="AK65"/>
      <c r="AL65"/>
      <c r="AM65"/>
      <c r="AN65"/>
      <c r="AO65"/>
      <c r="AP65"/>
      <c r="AQ65"/>
      <c r="AR65"/>
      <c r="AS65"/>
      <c r="AT65"/>
      <c r="AU65"/>
      <c r="AV65"/>
      <c r="AW65"/>
      <c r="AX65"/>
      <c r="AY65"/>
    </row>
    <row r="66" spans="1:51" s="35" customFormat="1" ht="24.75" customHeight="1" thickBot="1" x14ac:dyDescent="0.55000000000000004">
      <c r="A66" s="2">
        <f t="shared" si="0"/>
        <v>61</v>
      </c>
      <c r="C66" s="19" t="str">
        <f>+IF($K$1="EN",Text!$B$11,Text!$C$11)</f>
        <v>Load Factor</v>
      </c>
      <c r="D66" s="30"/>
      <c r="E66" s="30"/>
      <c r="F66" s="30"/>
      <c r="G66" s="30"/>
      <c r="H66" s="30"/>
      <c r="I66" s="30"/>
      <c r="J66" s="30"/>
      <c r="K66" s="1"/>
      <c r="L66" s="611" t="e">
        <f>C68</f>
        <v>#REF!</v>
      </c>
      <c r="M66" s="611"/>
      <c r="N66" s="612"/>
      <c r="O66" s="613" t="str">
        <f>+IF($K$1="EN",Text!$B$12,Text!$C$12)</f>
        <v>vs. P50 GCF (%)</v>
      </c>
      <c r="P66" s="611"/>
      <c r="Q66" s="611"/>
      <c r="U66"/>
      <c r="V66"/>
      <c r="W66"/>
      <c r="X66"/>
      <c r="Y66"/>
      <c r="Z66"/>
      <c r="AA66"/>
      <c r="AB66"/>
      <c r="AC66"/>
      <c r="AD66"/>
      <c r="AE66"/>
      <c r="AF66"/>
      <c r="AG66"/>
      <c r="AH66"/>
      <c r="AI66"/>
      <c r="AJ66"/>
      <c r="AK66"/>
      <c r="AL66"/>
      <c r="AM66"/>
      <c r="AN66"/>
      <c r="AO66"/>
      <c r="AP66"/>
      <c r="AQ66"/>
      <c r="AR66"/>
      <c r="AS66"/>
      <c r="AT66"/>
      <c r="AU66"/>
      <c r="AV66"/>
      <c r="AW66"/>
      <c r="AX66"/>
      <c r="AY66"/>
    </row>
    <row r="67" spans="1:51" s="35" customFormat="1" ht="18" customHeight="1" x14ac:dyDescent="0.25">
      <c r="A67" s="2">
        <f t="shared" si="0"/>
        <v>62</v>
      </c>
      <c r="B67" s="91"/>
      <c r="C67" s="1"/>
      <c r="D67" s="1"/>
      <c r="E67" s="1"/>
      <c r="F67" s="1"/>
      <c r="G67" s="1"/>
      <c r="H67" s="1"/>
      <c r="I67" s="1"/>
      <c r="J67" s="1"/>
      <c r="K67" s="1"/>
      <c r="L67" s="1"/>
      <c r="M67" s="1"/>
      <c r="N67" s="1"/>
      <c r="O67" s="1"/>
      <c r="P67" s="1"/>
      <c r="Q67" s="1"/>
      <c r="U67"/>
      <c r="V67"/>
      <c r="W67"/>
      <c r="X67"/>
      <c r="Y67"/>
      <c r="Z67"/>
      <c r="AA67"/>
      <c r="AB67"/>
      <c r="AC67"/>
      <c r="AD67"/>
      <c r="AE67"/>
      <c r="AF67"/>
      <c r="AG67"/>
      <c r="AH67"/>
      <c r="AI67"/>
      <c r="AJ67"/>
      <c r="AK67"/>
      <c r="AL67"/>
      <c r="AM67"/>
      <c r="AN67"/>
      <c r="AO67"/>
      <c r="AP67"/>
      <c r="AQ67"/>
      <c r="AR67"/>
      <c r="AS67"/>
      <c r="AT67"/>
      <c r="AU67"/>
      <c r="AV67"/>
      <c r="AW67"/>
      <c r="AX67"/>
      <c r="AY67"/>
    </row>
    <row r="68" spans="1:51" s="35" customFormat="1" ht="18" customHeight="1" x14ac:dyDescent="0.25">
      <c r="A68" s="2">
        <f t="shared" si="0"/>
        <v>63</v>
      </c>
      <c r="B68" s="91"/>
      <c r="C68" s="44" t="e">
        <f>+IF($K$1="EN",Text!#REF!,Text!#REF!)</f>
        <v>#REF!</v>
      </c>
      <c r="D68" s="15"/>
      <c r="E68" s="15"/>
      <c r="F68" s="15"/>
      <c r="G68" s="15"/>
      <c r="H68" s="26" t="e">
        <f>+CURPEN</f>
        <v>#NAME?</v>
      </c>
      <c r="I68" s="43" t="e">
        <f>+COMP</f>
        <v>#NAME?</v>
      </c>
      <c r="J68" s="42" t="s">
        <v>13</v>
      </c>
      <c r="K68" s="1"/>
      <c r="L68" s="45"/>
      <c r="M68" s="1"/>
      <c r="N68" s="1"/>
      <c r="O68" s="1"/>
      <c r="P68" s="1"/>
      <c r="Q68" s="1"/>
      <c r="U68"/>
      <c r="V68"/>
      <c r="W68"/>
      <c r="X68"/>
      <c r="Y68"/>
      <c r="Z68"/>
      <c r="AA68"/>
      <c r="AB68"/>
      <c r="AC68"/>
      <c r="AD68"/>
      <c r="AE68"/>
      <c r="AF68"/>
      <c r="AG68"/>
      <c r="AH68"/>
      <c r="AI68"/>
      <c r="AJ68"/>
      <c r="AK68"/>
      <c r="AL68"/>
      <c r="AM68"/>
      <c r="AN68"/>
      <c r="AO68"/>
      <c r="AP68"/>
      <c r="AQ68"/>
      <c r="AR68"/>
      <c r="AS68"/>
      <c r="AT68"/>
      <c r="AU68"/>
      <c r="AV68"/>
      <c r="AW68"/>
      <c r="AX68"/>
      <c r="AY68"/>
    </row>
    <row r="69" spans="1:51" s="35" customFormat="1" ht="18" customHeight="1" x14ac:dyDescent="0.25">
      <c r="A69" s="2">
        <f t="shared" si="0"/>
        <v>64</v>
      </c>
      <c r="B69" s="91"/>
      <c r="C69" s="13" t="str">
        <f>+IF($K$1="EN",Text!$B$28,Text!$C$28)</f>
        <v>Spain</v>
      </c>
      <c r="D69" s="51"/>
      <c r="E69" s="51"/>
      <c r="F69" s="51"/>
      <c r="G69" s="51"/>
      <c r="H69" s="50"/>
      <c r="I69" s="98"/>
      <c r="J69" s="49"/>
      <c r="U69"/>
      <c r="V69"/>
      <c r="W69"/>
      <c r="X69"/>
      <c r="Y69"/>
      <c r="Z69"/>
      <c r="AA69"/>
      <c r="AB69"/>
      <c r="AC69"/>
      <c r="AD69"/>
      <c r="AE69"/>
      <c r="AF69"/>
      <c r="AG69"/>
      <c r="AH69"/>
      <c r="AI69"/>
      <c r="AJ69"/>
      <c r="AK69"/>
      <c r="AL69"/>
      <c r="AM69"/>
      <c r="AN69"/>
      <c r="AO69"/>
      <c r="AP69"/>
      <c r="AQ69"/>
      <c r="AR69"/>
      <c r="AS69"/>
      <c r="AT69"/>
      <c r="AU69"/>
      <c r="AV69"/>
      <c r="AW69"/>
      <c r="AX69"/>
      <c r="AY69"/>
    </row>
    <row r="70" spans="1:51" ht="18" customHeight="1" x14ac:dyDescent="0.25">
      <c r="A70" s="2">
        <f t="shared" si="0"/>
        <v>65</v>
      </c>
      <c r="B70" s="92"/>
      <c r="C70" s="13" t="str">
        <f>+IF($K$1="EN",Text!$B$29,Text!$C$29)</f>
        <v>Portugal</v>
      </c>
      <c r="D70" s="51"/>
      <c r="E70" s="51"/>
      <c r="F70" s="51"/>
      <c r="G70" s="51"/>
      <c r="H70" s="50"/>
      <c r="I70" s="98"/>
      <c r="J70" s="49"/>
    </row>
    <row r="71" spans="1:51" ht="18" customHeight="1" x14ac:dyDescent="0.25">
      <c r="A71" s="2">
        <f t="shared" ref="A71:A96" si="1">A70+1</f>
        <v>66</v>
      </c>
      <c r="B71" s="92"/>
      <c r="C71" s="13" t="str">
        <f>+IF($K$1="EN",Text!$B$30,Text!$C$30)</f>
        <v>Rest of Europe</v>
      </c>
      <c r="D71" s="51"/>
      <c r="E71" s="51"/>
      <c r="F71" s="51"/>
      <c r="G71" s="51"/>
      <c r="H71" s="50"/>
      <c r="I71" s="98"/>
      <c r="J71" s="49"/>
      <c r="L71" s="45" t="str">
        <f>+IF($K$1="EN",Text!$B$27,Text!$C$27)</f>
        <v>Europe</v>
      </c>
    </row>
    <row r="72" spans="1:51" ht="18" customHeight="1" x14ac:dyDescent="0.25">
      <c r="A72" s="2">
        <f t="shared" si="1"/>
        <v>67</v>
      </c>
      <c r="B72" s="92"/>
      <c r="C72" s="12" t="str">
        <f>+IF($K$1="EN",Text!$B$27,Text!$C$27)</f>
        <v>Europe</v>
      </c>
      <c r="D72" s="12"/>
      <c r="E72" s="12"/>
      <c r="F72" s="12"/>
      <c r="G72" s="12"/>
      <c r="H72" s="48"/>
      <c r="I72" s="99"/>
      <c r="J72" s="47"/>
    </row>
    <row r="73" spans="1:51" ht="18" customHeight="1" x14ac:dyDescent="0.25">
      <c r="A73" s="2">
        <f t="shared" si="1"/>
        <v>68</v>
      </c>
      <c r="B73" s="92"/>
      <c r="C73" s="13" t="str">
        <f>+IF($K$1="EN",Text!$B$35,Text!$C$35)</f>
        <v>US</v>
      </c>
      <c r="D73" s="51"/>
      <c r="E73" s="51"/>
      <c r="F73" s="51"/>
      <c r="G73" s="51"/>
      <c r="H73" s="50"/>
      <c r="I73" s="98"/>
      <c r="J73" s="49"/>
    </row>
    <row r="74" spans="1:51" ht="18" customHeight="1" x14ac:dyDescent="0.25">
      <c r="A74" s="2">
        <f t="shared" si="1"/>
        <v>69</v>
      </c>
      <c r="B74" s="92"/>
      <c r="C74" s="13" t="str">
        <f>+IF($K$1="EN",Text!$B$36,Text!$C$36)</f>
        <v>Canada</v>
      </c>
      <c r="H74" s="50"/>
      <c r="I74" s="98"/>
      <c r="J74" s="49"/>
    </row>
    <row r="75" spans="1:51" ht="18" customHeight="1" x14ac:dyDescent="0.25">
      <c r="A75" s="2">
        <f t="shared" si="1"/>
        <v>70</v>
      </c>
      <c r="B75" s="92"/>
      <c r="C75" s="13" t="str">
        <f>+IF($K$1="EN",Text!$B$37,Text!$C$37)</f>
        <v>Mexico</v>
      </c>
      <c r="H75" s="50"/>
      <c r="I75" s="98"/>
      <c r="J75" s="49"/>
      <c r="L75" s="45" t="str">
        <f>+IF($K$1="EN",Text!$B$51,Text!$C$51)</f>
        <v>N. America</v>
      </c>
    </row>
    <row r="76" spans="1:51" ht="18" customHeight="1" x14ac:dyDescent="0.25">
      <c r="A76" s="2">
        <f t="shared" si="1"/>
        <v>71</v>
      </c>
      <c r="B76" s="92"/>
      <c r="C76" s="12" t="str">
        <f>+IF($K$1="EN",Text!$B$34,Text!$C$34)</f>
        <v>North America</v>
      </c>
      <c r="D76" s="11"/>
      <c r="E76" s="11"/>
      <c r="F76" s="11"/>
      <c r="G76" s="11"/>
      <c r="H76" s="48"/>
      <c r="I76" s="99"/>
      <c r="J76" s="47"/>
    </row>
    <row r="77" spans="1:51" ht="18" customHeight="1" x14ac:dyDescent="0.25">
      <c r="A77" s="2">
        <f t="shared" si="1"/>
        <v>72</v>
      </c>
      <c r="B77" s="92"/>
      <c r="C77" s="13" t="str">
        <f>+IF($K$1="EN",Text!$B$42,Text!$C$42)</f>
        <v>Brazil &amp; Chile</v>
      </c>
      <c r="H77" s="50"/>
      <c r="I77" s="98"/>
      <c r="J77" s="49"/>
    </row>
    <row r="78" spans="1:51" ht="18" customHeight="1" x14ac:dyDescent="0.25">
      <c r="A78" s="2">
        <f t="shared" si="1"/>
        <v>73</v>
      </c>
      <c r="B78" s="92"/>
      <c r="C78" s="12" t="str">
        <f>+IF($K$1="EN",Text!$B$40,Text!$C$40)</f>
        <v>South America</v>
      </c>
      <c r="D78" s="12"/>
      <c r="E78" s="12"/>
      <c r="F78" s="12"/>
      <c r="G78" s="12"/>
      <c r="H78" s="48"/>
      <c r="I78" s="99"/>
      <c r="J78" s="47"/>
    </row>
    <row r="79" spans="1:51" ht="18" customHeight="1" x14ac:dyDescent="0.25">
      <c r="A79" s="2">
        <f t="shared" si="1"/>
        <v>74</v>
      </c>
      <c r="B79" s="92"/>
      <c r="C79" s="10" t="e">
        <f>+IF($K$1="EN",Text!#REF!,Text!#REF!)</f>
        <v>#REF!</v>
      </c>
      <c r="D79" s="10"/>
      <c r="E79" s="10"/>
      <c r="F79" s="10"/>
      <c r="G79" s="10"/>
      <c r="H79" s="40"/>
      <c r="I79" s="114"/>
      <c r="J79" s="97"/>
      <c r="L79" s="45" t="str">
        <f>+IF(Check!$K$1="EN",Text!$B$52,Text!$C$52)</f>
        <v>S. America</v>
      </c>
    </row>
    <row r="80" spans="1:51" ht="18" customHeight="1" x14ac:dyDescent="0.25">
      <c r="A80" s="2">
        <f t="shared" si="1"/>
        <v>75</v>
      </c>
      <c r="B80" s="89"/>
    </row>
    <row r="81" spans="1:20" ht="18" customHeight="1" x14ac:dyDescent="0.25">
      <c r="A81" s="2">
        <f t="shared" si="1"/>
        <v>76</v>
      </c>
      <c r="B81" s="92"/>
    </row>
    <row r="82" spans="1:20" ht="24.75" customHeight="1" thickBot="1" x14ac:dyDescent="0.3">
      <c r="A82" s="2">
        <f t="shared" si="1"/>
        <v>77</v>
      </c>
      <c r="B82" s="92"/>
      <c r="C82" s="46" t="str">
        <f>+IF($K$1="EN",Text!$B$13,Text!$C$13)</f>
        <v>Renewables Index (vs. P50 Gross Capacity Factor)</v>
      </c>
      <c r="D82" s="30"/>
      <c r="E82" s="30"/>
      <c r="F82" s="30"/>
      <c r="G82" s="30"/>
      <c r="H82" s="30"/>
      <c r="I82" s="30"/>
      <c r="J82" s="30"/>
    </row>
    <row r="83" spans="1:20" ht="18" customHeight="1" x14ac:dyDescent="0.25">
      <c r="A83" s="2">
        <f t="shared" si="1"/>
        <v>78</v>
      </c>
      <c r="B83" s="92"/>
      <c r="L83" s="45" t="s">
        <v>32</v>
      </c>
    </row>
    <row r="84" spans="1:20" ht="18" customHeight="1" x14ac:dyDescent="0.25">
      <c r="A84" s="2">
        <f t="shared" si="1"/>
        <v>79</v>
      </c>
      <c r="B84" s="92"/>
      <c r="C84" s="44" t="s">
        <v>45</v>
      </c>
      <c r="D84" s="15"/>
      <c r="E84" s="15"/>
      <c r="F84" s="15"/>
      <c r="G84" s="15"/>
      <c r="H84" s="26" t="e">
        <f>+CURPEN</f>
        <v>#NAME?</v>
      </c>
      <c r="I84" s="43" t="e">
        <f>+COMP</f>
        <v>#NAME?</v>
      </c>
      <c r="J84" s="42" t="s">
        <v>13</v>
      </c>
    </row>
    <row r="85" spans="1:20" ht="18" customHeight="1" x14ac:dyDescent="0.25">
      <c r="A85" s="2">
        <f t="shared" si="1"/>
        <v>80</v>
      </c>
      <c r="B85" s="89"/>
      <c r="C85" s="10" t="e">
        <f>+IF($K$1="EN",Text!#REF!,Text!#REF!)</f>
        <v>#REF!</v>
      </c>
      <c r="D85" s="10"/>
      <c r="E85" s="10"/>
      <c r="F85" s="10"/>
      <c r="G85" s="10"/>
      <c r="H85" s="40"/>
      <c r="I85" s="39"/>
      <c r="J85" s="38"/>
    </row>
    <row r="86" spans="1:20" ht="18" customHeight="1" x14ac:dyDescent="0.25">
      <c r="A86" s="2">
        <f t="shared" si="1"/>
        <v>81</v>
      </c>
      <c r="B86" s="36"/>
      <c r="Q86" s="35"/>
    </row>
    <row r="87" spans="1:20" ht="18" customHeight="1" x14ac:dyDescent="0.25">
      <c r="A87" s="2">
        <f t="shared" si="1"/>
        <v>82</v>
      </c>
    </row>
    <row r="88" spans="1:20" ht="18" customHeight="1" x14ac:dyDescent="0.25">
      <c r="A88" s="2">
        <f t="shared" si="1"/>
        <v>83</v>
      </c>
      <c r="R88" s="35"/>
      <c r="S88" s="35"/>
      <c r="T88" s="35"/>
    </row>
    <row r="89" spans="1:20" ht="18" customHeight="1" x14ac:dyDescent="0.25">
      <c r="A89" s="2">
        <f t="shared" si="1"/>
        <v>84</v>
      </c>
      <c r="R89" s="35"/>
      <c r="S89" s="35"/>
      <c r="T89" s="35"/>
    </row>
    <row r="90" spans="1:20" ht="18" customHeight="1" x14ac:dyDescent="0.25">
      <c r="A90" s="2">
        <f t="shared" si="1"/>
        <v>85</v>
      </c>
      <c r="Q90" s="35"/>
      <c r="R90" s="35"/>
      <c r="S90" s="35"/>
      <c r="T90" s="35"/>
    </row>
    <row r="91" spans="1:20" ht="18" customHeight="1" x14ac:dyDescent="0.25">
      <c r="A91" s="2">
        <f t="shared" si="1"/>
        <v>86</v>
      </c>
      <c r="Q91" s="35"/>
      <c r="R91" s="35"/>
      <c r="S91" s="35"/>
      <c r="T91" s="35"/>
    </row>
    <row r="92" spans="1:20" ht="18" customHeight="1" x14ac:dyDescent="0.25">
      <c r="A92" s="2">
        <f t="shared" si="1"/>
        <v>87</v>
      </c>
    </row>
    <row r="93" spans="1:20" ht="18" customHeight="1" x14ac:dyDescent="0.25">
      <c r="A93" s="2">
        <f t="shared" si="1"/>
        <v>88</v>
      </c>
    </row>
    <row r="94" spans="1:20" ht="18" customHeight="1" x14ac:dyDescent="0.25">
      <c r="A94" s="2">
        <f t="shared" si="1"/>
        <v>89</v>
      </c>
      <c r="C94" s="8" t="e">
        <f>+IF($K$1="EN",Text!#REF!,Text!#REF!)</f>
        <v>#REF!</v>
      </c>
    </row>
    <row r="95" spans="1:20" ht="18" customHeight="1" x14ac:dyDescent="0.25">
      <c r="A95" s="2">
        <f t="shared" si="1"/>
        <v>90</v>
      </c>
      <c r="N95" s="603" t="str">
        <f>+IF($K$1="EN",Text!$B$72,Text!$C$72)</f>
        <v>EDPR Investor Relations</v>
      </c>
      <c r="O95" s="603"/>
      <c r="P95" s="603"/>
      <c r="Q95" s="604" t="str">
        <f>+IF($K$1="EN",Text!$B$73,Text!$C$73)</f>
        <v>Phone: +34 900 830 004</v>
      </c>
      <c r="R95" s="605"/>
    </row>
    <row r="96" spans="1:20" ht="18" customHeight="1" x14ac:dyDescent="0.25">
      <c r="A96" s="2">
        <f t="shared" si="1"/>
        <v>91</v>
      </c>
      <c r="C96" s="7" t="str">
        <f>+IF($K$1="EN",Text!$B$76,Text!$C$76)</f>
        <v>EDP Renováveis, S.A. | Head office: Plaza del Fresno, 2 - 33007 Oviedo, Spain</v>
      </c>
      <c r="M96" s="6"/>
      <c r="O96" s="598" t="str">
        <f>+IF($K$1="EN",Text!$B$75,Text!$C$75)</f>
        <v>Site: www.edpr-investors.com</v>
      </c>
      <c r="P96" s="598"/>
      <c r="Q96" s="117" t="str">
        <f>+IF($K$1="EN",Text!$B$74,Text!$C$74)</f>
        <v>Email: ir@edpr.com</v>
      </c>
    </row>
    <row r="97" spans="1:19" ht="18" customHeight="1" x14ac:dyDescent="0.25">
      <c r="A97" s="2">
        <v>1</v>
      </c>
    </row>
    <row r="98" spans="1:19" ht="51" customHeight="1" x14ac:dyDescent="0.25">
      <c r="A98" s="2">
        <f t="shared" ref="A98:A161" si="2">A97+1</f>
        <v>2</v>
      </c>
      <c r="C98" s="34" t="str">
        <f>+IF($K$1="EN",Text!$B$2,Text!$C$2)</f>
        <v>Operating Data Preview 2025</v>
      </c>
      <c r="I98" s="34"/>
      <c r="L98" s="33"/>
    </row>
    <row r="99" spans="1:19" ht="21" customHeight="1" x14ac:dyDescent="0.25">
      <c r="A99" s="2">
        <f t="shared" si="2"/>
        <v>3</v>
      </c>
      <c r="C99" s="32" t="str">
        <f>+IF($K$1="EN",Text!$B$5,Text!$C$5)</f>
        <v>Madrid, January 22nd, 2026</v>
      </c>
      <c r="D99" s="31"/>
      <c r="E99" s="31"/>
      <c r="F99" s="31"/>
      <c r="G99" s="31"/>
      <c r="H99" s="31"/>
      <c r="I99" s="31"/>
      <c r="J99" s="31"/>
      <c r="K99" s="31"/>
      <c r="L99" s="31"/>
      <c r="M99" s="31"/>
      <c r="N99" s="31"/>
      <c r="O99" s="31"/>
      <c r="P99" s="31"/>
      <c r="Q99" s="31"/>
    </row>
    <row r="100" spans="1:19" ht="18" customHeight="1" x14ac:dyDescent="0.25">
      <c r="A100" s="2">
        <f t="shared" si="2"/>
        <v>4</v>
      </c>
    </row>
    <row r="101" spans="1:19" ht="24.75" customHeight="1" thickBot="1" x14ac:dyDescent="0.55000000000000004">
      <c r="A101" s="2">
        <f t="shared" si="2"/>
        <v>5</v>
      </c>
      <c r="C101" s="19" t="str">
        <f>+IF($K$1="EN",Text!$B$7,Text!$C$7)</f>
        <v>Installed Capacity</v>
      </c>
      <c r="D101" s="30"/>
      <c r="E101" s="30"/>
      <c r="F101" s="30"/>
      <c r="G101" s="30"/>
      <c r="H101" s="30"/>
      <c r="I101" s="30"/>
      <c r="J101" s="30"/>
      <c r="L101" s="610" t="str">
        <f>+IF($K$1="EN",Text!$B$14,Text!$C$14)</f>
        <v>Installed Capacity by Technology</v>
      </c>
      <c r="M101" s="610"/>
      <c r="N101" s="610"/>
      <c r="O101" s="610"/>
      <c r="P101" s="610"/>
      <c r="Q101" s="610"/>
    </row>
    <row r="102" spans="1:19" ht="18" customHeight="1" x14ac:dyDescent="0.25">
      <c r="A102" s="2">
        <f t="shared" si="2"/>
        <v>6</v>
      </c>
    </row>
    <row r="103" spans="1:19" ht="18" customHeight="1" x14ac:dyDescent="0.25">
      <c r="A103" s="2">
        <f t="shared" si="2"/>
        <v>7</v>
      </c>
      <c r="C103" s="14" t="s">
        <v>9</v>
      </c>
      <c r="D103" s="15"/>
      <c r="E103" s="15"/>
      <c r="F103" s="15"/>
      <c r="G103" s="15"/>
      <c r="H103" s="26" t="e">
        <f>+CURPEN</f>
        <v>#NAME?</v>
      </c>
      <c r="I103" s="25" t="s">
        <v>8</v>
      </c>
      <c r="J103" s="116" t="str">
        <f>+IF($K$1="EN",Text!$B$63,Text!$C$63)</f>
        <v>U/C</v>
      </c>
    </row>
    <row r="104" spans="1:19" ht="18" customHeight="1" x14ac:dyDescent="0.25">
      <c r="A104" s="2">
        <f t="shared" si="2"/>
        <v>8</v>
      </c>
      <c r="C104" s="13" t="str">
        <f>+IF($K$1="EN",Text!$B$28,Text!$C$28)</f>
        <v>Spain</v>
      </c>
      <c r="D104" s="3"/>
      <c r="E104" s="3"/>
      <c r="F104" s="3"/>
      <c r="G104" s="3"/>
      <c r="H104" s="73"/>
      <c r="I104" s="22"/>
      <c r="J104" s="88"/>
    </row>
    <row r="105" spans="1:19" ht="18" customHeight="1" x14ac:dyDescent="0.25">
      <c r="A105" s="2">
        <f t="shared" si="2"/>
        <v>9</v>
      </c>
      <c r="C105" s="13" t="str">
        <f>+IF($K$1="EN",Text!$B$29,Text!$C$29)</f>
        <v>Portugal</v>
      </c>
      <c r="D105" s="3"/>
      <c r="E105" s="3"/>
      <c r="F105" s="3"/>
      <c r="G105" s="3"/>
      <c r="H105" s="73"/>
      <c r="I105" s="22"/>
      <c r="J105" s="88"/>
    </row>
    <row r="106" spans="1:19" ht="18" customHeight="1" x14ac:dyDescent="0.25">
      <c r="A106" s="2">
        <f t="shared" si="2"/>
        <v>10</v>
      </c>
      <c r="C106" s="13" t="str">
        <f>+IF($K$1="EN",Text!$B$30,Text!$C$30)</f>
        <v>Rest of Europe</v>
      </c>
      <c r="D106" s="3"/>
      <c r="E106" s="3"/>
      <c r="F106" s="3"/>
      <c r="G106" s="3"/>
      <c r="H106" s="73"/>
      <c r="I106" s="22"/>
      <c r="J106" s="88"/>
    </row>
    <row r="107" spans="1:19" ht="18" customHeight="1" x14ac:dyDescent="0.25">
      <c r="A107" s="2">
        <f t="shared" si="2"/>
        <v>11</v>
      </c>
      <c r="C107" s="12" t="str">
        <f>+IF($K$1="EN",Text!$B$27,Text!$C$27)</f>
        <v>Europe</v>
      </c>
      <c r="D107" s="11"/>
      <c r="E107" s="11"/>
      <c r="F107" s="11"/>
      <c r="G107" s="11"/>
      <c r="H107" s="74" t="b">
        <f>ROUND(EN!F107,2)=ROUND(SUM(EN!F104:F106),2)</f>
        <v>1</v>
      </c>
      <c r="I107" s="21" t="b">
        <f>ROUND(EN!I107,2)=ROUND(SUM(EN!I104:I106),1)</f>
        <v>0</v>
      </c>
      <c r="J107" s="85" t="b">
        <f>ROUND(EN!J107,2)=ROUND(SUM(EN!J104:J106),2)</f>
        <v>1</v>
      </c>
      <c r="S107" s="115" t="s">
        <v>187</v>
      </c>
    </row>
    <row r="108" spans="1:19" ht="18" customHeight="1" x14ac:dyDescent="0.25">
      <c r="A108" s="2">
        <f t="shared" si="2"/>
        <v>12</v>
      </c>
      <c r="C108" s="13" t="str">
        <f>+IF($K$1="EN",Text!$B$35,Text!$C$35)</f>
        <v>US</v>
      </c>
      <c r="D108" s="3"/>
      <c r="E108" s="3"/>
      <c r="F108" s="3"/>
      <c r="G108" s="3"/>
      <c r="H108" s="73"/>
      <c r="I108" s="22"/>
      <c r="J108" s="88"/>
      <c r="O108" s="29"/>
    </row>
    <row r="109" spans="1:19" ht="18" customHeight="1" x14ac:dyDescent="0.25">
      <c r="A109" s="2">
        <f t="shared" si="2"/>
        <v>13</v>
      </c>
      <c r="C109" s="13" t="str">
        <f>+IF($K$1="EN",Text!$B$36,Text!$C$36)</f>
        <v>Canada</v>
      </c>
      <c r="D109" s="3"/>
      <c r="E109" s="3"/>
      <c r="F109" s="3"/>
      <c r="G109" s="3"/>
      <c r="H109" s="73"/>
      <c r="I109" s="22"/>
      <c r="J109" s="88"/>
      <c r="N109" s="606" t="str">
        <f>N35</f>
        <v>0 GW</v>
      </c>
      <c r="O109" s="606"/>
      <c r="P109" s="29"/>
    </row>
    <row r="110" spans="1:19" ht="18" customHeight="1" x14ac:dyDescent="0.25">
      <c r="A110" s="2">
        <f t="shared" si="2"/>
        <v>14</v>
      </c>
      <c r="C110" s="13" t="str">
        <f>+IF($K$1="EN",Text!$B$37,Text!$C$37)</f>
        <v>Mexico</v>
      </c>
      <c r="D110" s="3"/>
      <c r="E110" s="3"/>
      <c r="F110" s="3"/>
      <c r="G110" s="3"/>
      <c r="H110" s="73"/>
      <c r="I110" s="22"/>
      <c r="J110" s="88"/>
      <c r="N110" s="606"/>
      <c r="O110" s="606"/>
      <c r="P110" s="29"/>
    </row>
    <row r="111" spans="1:19" ht="18" customHeight="1" x14ac:dyDescent="0.25">
      <c r="A111" s="2">
        <f t="shared" si="2"/>
        <v>15</v>
      </c>
      <c r="C111" s="12" t="str">
        <f>+IF($K$1="EN",Text!$B$34,Text!$C$34)</f>
        <v>North America</v>
      </c>
      <c r="D111" s="11"/>
      <c r="E111" s="11"/>
      <c r="F111" s="11"/>
      <c r="G111" s="11"/>
      <c r="H111" s="74" t="b">
        <f>ROUND(EN!F110,2)=ROUND(SUM(EN!F108:F109),2)</f>
        <v>1</v>
      </c>
      <c r="I111" s="21" t="b">
        <f>ROUND(EN!I110,2)=ROUND(SUM(EN!I108:I109),2)</f>
        <v>1</v>
      </c>
      <c r="J111" s="85" t="b">
        <f>ROUND(EN!J110,2)=ROUND(SUM(EN!J108:J109),2)</f>
        <v>1</v>
      </c>
      <c r="N111" s="29"/>
      <c r="O111" s="29"/>
      <c r="S111" s="115" t="s">
        <v>187</v>
      </c>
    </row>
    <row r="112" spans="1:19" ht="18" customHeight="1" x14ac:dyDescent="0.25">
      <c r="A112" s="2">
        <f t="shared" si="2"/>
        <v>16</v>
      </c>
      <c r="C112" s="13" t="str">
        <f>+IF($K$1="EN",Text!$B$42,Text!$C$42)</f>
        <v>Brazil &amp; Chile</v>
      </c>
      <c r="D112" s="3"/>
      <c r="E112" s="3"/>
      <c r="F112" s="3"/>
      <c r="G112" s="3"/>
      <c r="H112" s="73"/>
      <c r="I112" s="22"/>
      <c r="J112" s="88"/>
    </row>
    <row r="113" spans="1:19" ht="18" customHeight="1" x14ac:dyDescent="0.25">
      <c r="A113" s="2">
        <f t="shared" si="2"/>
        <v>17</v>
      </c>
      <c r="C113" s="12" t="str">
        <f>+IF($K$1="EN",Text!$B$40,Text!$C$40)</f>
        <v>South America</v>
      </c>
      <c r="H113" s="74" t="b">
        <f>ROUND(EN!F113,2)=ROUND(SUM(EN!F111:F111),2)</f>
        <v>0</v>
      </c>
      <c r="I113" s="21" t="b">
        <f>ROUND(EN!I113,2)=ROUND(SUM(EN!I111:I111),2)</f>
        <v>1</v>
      </c>
      <c r="J113" s="85" t="b">
        <f>ROUND(EN!J113,2)=ROUND(SUM(EN!J111:J112),2)</f>
        <v>1</v>
      </c>
      <c r="S113" s="115" t="s">
        <v>187</v>
      </c>
    </row>
    <row r="114" spans="1:19" ht="18" customHeight="1" x14ac:dyDescent="0.25">
      <c r="A114" s="2">
        <f t="shared" si="2"/>
        <v>18</v>
      </c>
      <c r="C114" s="13" t="str">
        <f>+IF($K$1="EN",Text!$B$47,Text!$C$47)</f>
        <v>Vietnam</v>
      </c>
      <c r="H114" s="73"/>
      <c r="I114" s="22"/>
      <c r="J114" s="88"/>
    </row>
    <row r="115" spans="1:19" ht="18" customHeight="1" x14ac:dyDescent="0.25">
      <c r="A115" s="2">
        <f t="shared" si="2"/>
        <v>19</v>
      </c>
      <c r="C115" s="12" t="str">
        <f>+IF($K$1="EN",Text!$B$46,Text!$C$46)</f>
        <v>APAC</v>
      </c>
      <c r="H115" s="74" t="b">
        <f>ROUND(EN!F117,2)=ROUND(SUM(EN!F114:F114),2)</f>
        <v>0</v>
      </c>
      <c r="I115" s="21" t="b">
        <f>ROUND(EN!I117,2)=ROUND(SUM(EN!I114:I114),2)</f>
        <v>0</v>
      </c>
      <c r="J115" s="85" t="b">
        <f>ROUND(EN!J117,2)=ROUND(SUM(EN!J114:J114),2)</f>
        <v>0</v>
      </c>
      <c r="S115" s="115" t="s">
        <v>187</v>
      </c>
    </row>
    <row r="116" spans="1:19" ht="18" customHeight="1" x14ac:dyDescent="0.25">
      <c r="A116" s="2">
        <f t="shared" si="2"/>
        <v>20</v>
      </c>
      <c r="C116" s="10" t="str">
        <f>+IF($K$1="EN",Text!$B$55,Text!$C$55)</f>
        <v>EBITDA MW</v>
      </c>
      <c r="D116" s="10"/>
      <c r="E116" s="10"/>
      <c r="F116" s="10"/>
      <c r="G116" s="10"/>
      <c r="H116" s="75" t="b">
        <f>ROUND(EN!F118,2)=ROUND(EN!F107+EN!F110+EN!F113+EN!F117,2)</f>
        <v>1</v>
      </c>
      <c r="I116" s="20" t="b">
        <f>ROUND(EN!I118,1)=ROUND(EN!I107+EN!I110+EN!I113+EN!I117,1)</f>
        <v>1</v>
      </c>
      <c r="J116" s="109" t="b">
        <f>ROUND(EN!J118,2)=ROUND(EN!J107+EN!J110+EN!J113+EN!J117,2)</f>
        <v>1</v>
      </c>
      <c r="S116" s="115" t="s">
        <v>187</v>
      </c>
    </row>
    <row r="117" spans="1:19" ht="18" customHeight="1" x14ac:dyDescent="0.25">
      <c r="A117" s="2">
        <f t="shared" si="2"/>
        <v>21</v>
      </c>
      <c r="B117" s="89"/>
      <c r="C117" s="3"/>
      <c r="D117" s="3"/>
      <c r="E117" s="3"/>
      <c r="F117" s="3"/>
      <c r="G117" s="3"/>
      <c r="H117" s="76"/>
      <c r="I117" s="24"/>
      <c r="J117" s="79"/>
    </row>
    <row r="118" spans="1:19" ht="18" customHeight="1" x14ac:dyDescent="0.25">
      <c r="A118" s="2">
        <f t="shared" si="2"/>
        <v>22</v>
      </c>
      <c r="B118" s="89"/>
      <c r="C118" s="13" t="str">
        <f>+IF($K$1="EN",Text!$B$28,Text!$C$28)</f>
        <v>Spain</v>
      </c>
      <c r="H118" s="73"/>
      <c r="I118" s="22"/>
      <c r="J118" s="77"/>
    </row>
    <row r="119" spans="1:19" ht="18" customHeight="1" x14ac:dyDescent="0.25">
      <c r="A119" s="2">
        <f t="shared" si="2"/>
        <v>23</v>
      </c>
      <c r="B119" s="89"/>
      <c r="C119" s="13" t="str">
        <f>+IF($K$1="EN",Text!$B$29,Text!$C$29)</f>
        <v>Portugal</v>
      </c>
      <c r="H119" s="73"/>
      <c r="I119" s="22"/>
      <c r="J119" s="77"/>
    </row>
    <row r="120" spans="1:19" ht="18" customHeight="1" x14ac:dyDescent="0.25">
      <c r="A120" s="2">
        <f t="shared" si="2"/>
        <v>24</v>
      </c>
      <c r="B120" s="89"/>
      <c r="C120" s="13" t="str">
        <f>+IF($K$1="EN",Text!$B$30,Text!$C$30)</f>
        <v>Rest of Europe</v>
      </c>
      <c r="H120" s="73"/>
      <c r="I120" s="22"/>
      <c r="J120" s="77"/>
    </row>
    <row r="121" spans="1:19" ht="18" customHeight="1" x14ac:dyDescent="0.25">
      <c r="A121" s="2">
        <f t="shared" si="2"/>
        <v>25</v>
      </c>
      <c r="B121" s="89"/>
      <c r="C121" s="12" t="str">
        <f>+IF($K$1="EN",Text!$B$27,Text!$C$27)</f>
        <v>Europe</v>
      </c>
      <c r="H121" s="74" t="b">
        <f>ROUND(EN!F122,2)=ROUND(SUM(EN!F119:F121),2)</f>
        <v>1</v>
      </c>
      <c r="I121" s="21" t="b">
        <f>ROUND(EN!I122,2)=ROUND(SUM(EN!I119:I121),2)</f>
        <v>1</v>
      </c>
      <c r="J121" s="85" t="b">
        <f>ROUND(EN!J122,2)=ROUND(SUM(EN!J119:J121),2)</f>
        <v>1</v>
      </c>
      <c r="S121" s="115" t="s">
        <v>187</v>
      </c>
    </row>
    <row r="122" spans="1:19" ht="18" customHeight="1" x14ac:dyDescent="0.25">
      <c r="A122" s="2">
        <f t="shared" si="2"/>
        <v>26</v>
      </c>
      <c r="B122" s="89"/>
      <c r="C122" s="13" t="str">
        <f>+IF($K$1="EN",Text!$B$35,Text!$C$35)</f>
        <v>US</v>
      </c>
      <c r="H122" s="73"/>
      <c r="I122" s="22"/>
      <c r="J122" s="77"/>
    </row>
    <row r="123" spans="1:19" ht="18" customHeight="1" x14ac:dyDescent="0.25">
      <c r="A123" s="2">
        <f t="shared" si="2"/>
        <v>27</v>
      </c>
      <c r="B123" s="89"/>
      <c r="C123" s="12" t="str">
        <f>+IF($K$1="EN",Text!$B$34,Text!$C$34)</f>
        <v>North America</v>
      </c>
      <c r="D123" s="11"/>
      <c r="E123" s="11"/>
      <c r="F123" s="11"/>
      <c r="G123" s="11"/>
      <c r="H123" s="74" t="e">
        <f>ROUND(EN!F123,2)=ROUND(SUM(EN!#REF!),2)</f>
        <v>#REF!</v>
      </c>
      <c r="I123" s="21" t="e">
        <f>ROUND(EN!I123,2)=ROUND(SUM(EN!#REF!),2)</f>
        <v>#REF!</v>
      </c>
      <c r="J123" s="85" t="e">
        <f>ROUND(EN!J123,2)=ROUND(SUM(EN!#REF!),2)</f>
        <v>#REF!</v>
      </c>
      <c r="S123" s="115" t="s">
        <v>187</v>
      </c>
    </row>
    <row r="124" spans="1:19" ht="18" customHeight="1" x14ac:dyDescent="0.25">
      <c r="A124" s="2">
        <f t="shared" si="2"/>
        <v>28</v>
      </c>
      <c r="C124" s="10" t="str">
        <f>+IF($K$1="EN",Text!$B$56,Text!$C$56)</f>
        <v>Eq. Consolidated</v>
      </c>
      <c r="D124" s="10"/>
      <c r="E124" s="10"/>
      <c r="F124" s="10"/>
      <c r="G124" s="10"/>
      <c r="H124" s="75" t="b">
        <f>ROUND(EN!F125,2)=ROUND(EN!F122+EN!F123,2)</f>
        <v>0</v>
      </c>
      <c r="I124" s="20" t="b">
        <f>ROUND(EN!I125,2)=ROUND(EN!I122+EN!I123,2)</f>
        <v>0</v>
      </c>
      <c r="J124" s="109" t="b">
        <f>ROUND(EN!J125,2)=ROUND(EN!J122+EN!J123,2)</f>
        <v>1</v>
      </c>
      <c r="S124" s="115" t="s">
        <v>187</v>
      </c>
    </row>
    <row r="125" spans="1:19" ht="18" customHeight="1" x14ac:dyDescent="0.25">
      <c r="A125" s="2">
        <f t="shared" si="2"/>
        <v>29</v>
      </c>
      <c r="C125" s="9" t="e">
        <f>+IF($K$1="EN",Text!#REF!,Text!#REF!)</f>
        <v>#REF!</v>
      </c>
      <c r="D125" s="9"/>
      <c r="E125" s="9"/>
      <c r="F125" s="9"/>
      <c r="G125" s="9"/>
      <c r="H125" s="75" t="b">
        <f>ROUND(EN!F126,2)=ROUND(EN!F118+EN!F125,2)</f>
        <v>1</v>
      </c>
      <c r="I125" s="20" t="b">
        <f>ROUND(EN!I126,2)=ROUND(EN!I118+EN!I125,2)</f>
        <v>1</v>
      </c>
      <c r="J125" s="111" t="b">
        <f>ROUND(EN!J126,2)=ROUND(EN!J118+EN!J125,2)</f>
        <v>1</v>
      </c>
      <c r="S125" s="115" t="s">
        <v>187</v>
      </c>
    </row>
    <row r="126" spans="1:19" ht="18" customHeight="1" x14ac:dyDescent="0.25">
      <c r="A126" s="2">
        <f t="shared" si="2"/>
        <v>30</v>
      </c>
      <c r="C126" s="12"/>
      <c r="H126" s="41"/>
    </row>
    <row r="127" spans="1:19" ht="18" customHeight="1" x14ac:dyDescent="0.25">
      <c r="A127" s="2">
        <f t="shared" si="2"/>
        <v>31</v>
      </c>
    </row>
    <row r="128" spans="1:19" ht="24.75" customHeight="1" thickBot="1" x14ac:dyDescent="0.55000000000000004">
      <c r="A128" s="2">
        <f t="shared" si="2"/>
        <v>32</v>
      </c>
      <c r="C128" s="19" t="str">
        <f>+IF($K$1="EN",Text!$B$21,Text!$C$21)</f>
        <v>Onshore Wind</v>
      </c>
      <c r="D128" s="18"/>
      <c r="E128" s="18"/>
      <c r="F128" s="18"/>
      <c r="G128" s="18"/>
      <c r="H128" s="18"/>
      <c r="I128" s="18"/>
      <c r="J128" s="18"/>
      <c r="L128" s="17" t="str">
        <f>+IF($K$1="EN",Text!$B$15,Text!$C$15)</f>
        <v>Capacity Additions YTD</v>
      </c>
      <c r="M128" s="16"/>
      <c r="N128" s="16"/>
      <c r="O128" s="16"/>
      <c r="P128" s="16"/>
      <c r="Q128" s="16"/>
    </row>
    <row r="129" spans="1:19" ht="18" customHeight="1" x14ac:dyDescent="0.25">
      <c r="A129" s="2">
        <f t="shared" si="2"/>
        <v>33</v>
      </c>
      <c r="P129"/>
      <c r="Q129"/>
    </row>
    <row r="130" spans="1:19" ht="18" customHeight="1" x14ac:dyDescent="0.25">
      <c r="A130" s="2">
        <f t="shared" si="2"/>
        <v>34</v>
      </c>
      <c r="C130" s="14" t="s">
        <v>9</v>
      </c>
      <c r="D130" s="15"/>
      <c r="E130" s="15"/>
      <c r="F130" s="15"/>
      <c r="G130" s="15"/>
      <c r="H130" s="26" t="e">
        <f>+CURPEN</f>
        <v>#NAME?</v>
      </c>
      <c r="I130" s="25" t="s">
        <v>8</v>
      </c>
      <c r="J130" s="116" t="str">
        <f>+IF($K$1="EN",Text!$B$63,Text!$C$63)</f>
        <v>U/C</v>
      </c>
      <c r="L130" s="14" t="str">
        <f>+IF($K$1="EN",Text!$B$53,Text!$C$53)</f>
        <v>Project</v>
      </c>
      <c r="M130" s="14"/>
      <c r="N130" s="600" t="str">
        <f>+IF($K$1="EN",Text!$B$54,Text!$C$54)</f>
        <v>Country</v>
      </c>
      <c r="O130" s="600"/>
      <c r="P130" s="116"/>
      <c r="Q130" s="116" t="s">
        <v>9</v>
      </c>
    </row>
    <row r="131" spans="1:19" ht="18" customHeight="1" x14ac:dyDescent="0.25">
      <c r="A131" s="2">
        <f t="shared" si="2"/>
        <v>35</v>
      </c>
      <c r="C131" s="13" t="str">
        <f>+IF($K$1="EN",Text!$B$28,Text!$C$28)</f>
        <v>Spain</v>
      </c>
      <c r="D131" s="3"/>
      <c r="E131" s="3"/>
      <c r="F131" s="3"/>
      <c r="G131" s="3"/>
      <c r="H131" s="73"/>
      <c r="I131" s="22"/>
      <c r="J131" s="77"/>
      <c r="L131" s="28"/>
      <c r="M131" s="28"/>
      <c r="N131" s="601"/>
      <c r="O131" s="601"/>
      <c r="P131" s="72"/>
      <c r="Q131" s="103"/>
      <c r="S131" s="28"/>
    </row>
    <row r="132" spans="1:19" ht="18" customHeight="1" x14ac:dyDescent="0.25">
      <c r="A132" s="2">
        <f t="shared" si="2"/>
        <v>36</v>
      </c>
      <c r="C132" s="13" t="str">
        <f>+IF($K$1="EN",Text!$B$29,Text!$C$29)</f>
        <v>Portugal</v>
      </c>
      <c r="D132" s="3"/>
      <c r="E132" s="3"/>
      <c r="F132" s="3"/>
      <c r="G132" s="3"/>
      <c r="H132" s="73"/>
      <c r="I132" s="22"/>
      <c r="J132" s="77"/>
      <c r="L132" s="28"/>
      <c r="M132" s="28"/>
      <c r="N132" s="599"/>
      <c r="O132" s="599"/>
      <c r="P132" s="72"/>
      <c r="Q132" s="103"/>
      <c r="S132" s="28"/>
    </row>
    <row r="133" spans="1:19" ht="18" customHeight="1" x14ac:dyDescent="0.25">
      <c r="A133" s="2">
        <f t="shared" si="2"/>
        <v>37</v>
      </c>
      <c r="C133" s="13" t="str">
        <f>+IF($K$1="EN",Text!$B$30,Text!$C$30)</f>
        <v>Rest of Europe</v>
      </c>
      <c r="D133" s="3"/>
      <c r="E133" s="3"/>
      <c r="F133" s="3"/>
      <c r="G133" s="3"/>
      <c r="H133" s="73"/>
      <c r="I133" s="22"/>
      <c r="J133" s="77"/>
      <c r="L133" s="28"/>
      <c r="M133" s="28"/>
      <c r="N133" s="599"/>
      <c r="O133" s="599"/>
      <c r="P133" s="72"/>
      <c r="Q133" s="103"/>
      <c r="S133" s="28"/>
    </row>
    <row r="134" spans="1:19" ht="18" customHeight="1" x14ac:dyDescent="0.25">
      <c r="A134" s="2">
        <f t="shared" si="2"/>
        <v>38</v>
      </c>
      <c r="C134" s="12" t="str">
        <f>+IF($K$1="EN",Text!$B$27,Text!$C$27)</f>
        <v>Europe</v>
      </c>
      <c r="D134" s="11"/>
      <c r="E134" s="11"/>
      <c r="F134" s="11"/>
      <c r="G134" s="11"/>
      <c r="H134" s="74" t="b">
        <f>ROUND(EN!F134,2)=ROUND(SUM(EN!F131:F133),2)</f>
        <v>1</v>
      </c>
      <c r="I134" s="21" t="b">
        <f>ROUND(EN!I134,2)=ROUND(SUM(EN!I131:I133),2)</f>
        <v>1</v>
      </c>
      <c r="J134" s="85" t="b">
        <f>ROUND(EN!J134,2)=ROUND(SUM(EN!J131:J133),2)</f>
        <v>1</v>
      </c>
      <c r="L134" s="28"/>
      <c r="M134" s="28"/>
      <c r="N134" s="599"/>
      <c r="O134" s="599"/>
      <c r="P134" s="72"/>
      <c r="Q134" s="103"/>
      <c r="S134" s="115" t="s">
        <v>187</v>
      </c>
    </row>
    <row r="135" spans="1:19" ht="18" customHeight="1" x14ac:dyDescent="0.25">
      <c r="A135" s="2">
        <f t="shared" si="2"/>
        <v>39</v>
      </c>
      <c r="C135" s="13" t="str">
        <f>+IF($K$1="EN",Text!$B$35,Text!$C$35)</f>
        <v>US</v>
      </c>
      <c r="D135" s="3"/>
      <c r="E135" s="3"/>
      <c r="F135" s="3"/>
      <c r="G135" s="3"/>
      <c r="H135" s="73"/>
      <c r="I135" s="22"/>
      <c r="J135" s="88"/>
      <c r="L135" s="28"/>
      <c r="N135" s="599"/>
      <c r="O135" s="599"/>
      <c r="Q135" s="103"/>
      <c r="S135" s="28"/>
    </row>
    <row r="136" spans="1:19" ht="18" customHeight="1" x14ac:dyDescent="0.25">
      <c r="A136" s="2">
        <f t="shared" si="2"/>
        <v>40</v>
      </c>
      <c r="C136" s="13" t="str">
        <f>+IF($K$1="EN",Text!$B$36,Text!$C$36)</f>
        <v>Canada</v>
      </c>
      <c r="D136" s="3"/>
      <c r="E136" s="3"/>
      <c r="F136" s="3"/>
      <c r="G136" s="3"/>
      <c r="H136" s="73"/>
      <c r="I136" s="22"/>
      <c r="J136" s="88"/>
      <c r="L136" s="28"/>
      <c r="N136" s="599"/>
      <c r="O136" s="599"/>
      <c r="Q136" s="103"/>
      <c r="S136" s="28"/>
    </row>
    <row r="137" spans="1:19" ht="18" customHeight="1" x14ac:dyDescent="0.25">
      <c r="A137" s="2">
        <f t="shared" si="2"/>
        <v>41</v>
      </c>
      <c r="C137" s="13" t="str">
        <f>+IF($K$1="EN",Text!$B$37,Text!$C$37)</f>
        <v>Mexico</v>
      </c>
      <c r="D137" s="3"/>
      <c r="E137" s="3"/>
      <c r="F137" s="3"/>
      <c r="G137" s="3"/>
      <c r="H137" s="73"/>
      <c r="I137" s="22"/>
      <c r="J137" s="88"/>
      <c r="L137" s="28"/>
      <c r="M137" s="28"/>
      <c r="N137" s="599"/>
      <c r="O137" s="599"/>
      <c r="P137" s="72"/>
      <c r="Q137" s="103"/>
      <c r="S137" s="28"/>
    </row>
    <row r="138" spans="1:19" ht="18" customHeight="1" x14ac:dyDescent="0.25">
      <c r="A138" s="2">
        <f t="shared" si="2"/>
        <v>42</v>
      </c>
      <c r="C138" s="12" t="str">
        <f>+IF($K$1="EN",Text!$B$34,Text!$C$34)</f>
        <v>North America</v>
      </c>
      <c r="D138" s="11"/>
      <c r="E138" s="11"/>
      <c r="F138" s="11"/>
      <c r="G138" s="11"/>
      <c r="H138" s="74" t="b">
        <f>ROUND(EN!F137,2)=ROUND(SUM(EN!F135:F136),2)</f>
        <v>1</v>
      </c>
      <c r="I138" s="21" t="b">
        <f>ROUND(EN!I137,2)=ROUND(SUM(EN!I135:I136),2)</f>
        <v>1</v>
      </c>
      <c r="J138" s="85" t="b">
        <f>ROUND(EN!J137,2)=ROUND(SUM(EN!J135:J136),2)</f>
        <v>1</v>
      </c>
      <c r="L138" s="28"/>
      <c r="M138" s="28"/>
      <c r="N138" s="599"/>
      <c r="O138" s="599"/>
      <c r="P138" s="72"/>
      <c r="Q138" s="103"/>
      <c r="S138" s="115" t="s">
        <v>187</v>
      </c>
    </row>
    <row r="139" spans="1:19" ht="18" customHeight="1" x14ac:dyDescent="0.25">
      <c r="A139" s="2">
        <f t="shared" si="2"/>
        <v>43</v>
      </c>
      <c r="C139" s="13" t="str">
        <f>+IF($K$1="EN",Text!$B$42,Text!$C$42)</f>
        <v>Brazil &amp; Chile</v>
      </c>
      <c r="D139" s="3"/>
      <c r="E139" s="3"/>
      <c r="F139" s="3"/>
      <c r="G139" s="3"/>
      <c r="H139" s="73"/>
      <c r="I139" s="22"/>
      <c r="J139" s="88"/>
      <c r="L139" s="28"/>
      <c r="M139" s="28"/>
      <c r="N139" s="599"/>
      <c r="O139" s="599"/>
      <c r="P139" s="72"/>
      <c r="Q139" s="103"/>
      <c r="S139" s="28"/>
    </row>
    <row r="140" spans="1:19" ht="18" customHeight="1" x14ac:dyDescent="0.25">
      <c r="A140" s="2">
        <f t="shared" si="2"/>
        <v>44</v>
      </c>
      <c r="C140" s="12" t="str">
        <f>+IF($K$1="EN",Text!$B$40,Text!$C$40)</f>
        <v>South America</v>
      </c>
      <c r="D140" s="11"/>
      <c r="E140" s="11"/>
      <c r="F140" s="11"/>
      <c r="G140" s="11"/>
      <c r="H140" s="74" t="b">
        <f>ROUND(EN!F140,2)=ROUND(SUM(EN!F138:F138),2)</f>
        <v>0</v>
      </c>
      <c r="I140" s="21" t="b">
        <f>ROUND(EN!I140,2)=ROUND(SUM(EN!I138:I138),2)</f>
        <v>1</v>
      </c>
      <c r="J140" s="85" t="b">
        <f>ROUND(EN!J140,2)=ROUND(SUM(EN!J138:J139),2)</f>
        <v>1</v>
      </c>
      <c r="L140" s="28"/>
      <c r="M140" s="28"/>
      <c r="N140" s="599"/>
      <c r="O140" s="599"/>
      <c r="P140" s="72"/>
      <c r="Q140" s="103"/>
      <c r="S140" s="115" t="s">
        <v>187</v>
      </c>
    </row>
    <row r="141" spans="1:19" ht="18" customHeight="1" x14ac:dyDescent="0.25">
      <c r="A141" s="2">
        <f t="shared" si="2"/>
        <v>45</v>
      </c>
      <c r="C141" s="10" t="str">
        <f>+IF($K$1="EN",Text!$B$55,Text!$C$55)</f>
        <v>EBITDA MW</v>
      </c>
      <c r="D141" s="10"/>
      <c r="E141" s="10"/>
      <c r="F141" s="10"/>
      <c r="G141" s="10"/>
      <c r="H141" s="75" t="b">
        <f>ROUND(EN!F141,2)=ROUND(EN!F134+EN!F137+EN!F140,2)</f>
        <v>1</v>
      </c>
      <c r="I141" s="20" t="b">
        <f>ROUND(EN!I141,1)=ROUND(EN!I134+EN!I137+EN!I140,1)</f>
        <v>1</v>
      </c>
      <c r="J141" s="109" t="b">
        <f>ROUND(EN!J141,2)=ROUND(EN!J134+EN!J137+EN!J140,2)</f>
        <v>1</v>
      </c>
      <c r="L141" s="28"/>
      <c r="M141" s="28"/>
      <c r="N141" s="599"/>
      <c r="O141" s="599"/>
      <c r="P141" s="72"/>
      <c r="Q141" s="103"/>
      <c r="S141" s="115" t="s">
        <v>187</v>
      </c>
    </row>
    <row r="142" spans="1:19" ht="18" customHeight="1" x14ac:dyDescent="0.25">
      <c r="A142" s="2">
        <f t="shared" si="2"/>
        <v>46</v>
      </c>
      <c r="C142" s="3"/>
      <c r="D142" s="3"/>
      <c r="E142" s="3"/>
      <c r="F142" s="3"/>
      <c r="G142" s="3"/>
      <c r="H142" s="76"/>
      <c r="I142" s="24"/>
      <c r="J142" s="79"/>
      <c r="Q142" s="104"/>
    </row>
    <row r="143" spans="1:19" ht="18" customHeight="1" x14ac:dyDescent="0.25">
      <c r="A143" s="2">
        <f t="shared" si="2"/>
        <v>47</v>
      </c>
      <c r="C143" s="13" t="str">
        <f>+IF($K$1="EN",Text!$B$28,Text!$C$28)</f>
        <v>Spain</v>
      </c>
      <c r="D143" s="3"/>
      <c r="E143" s="3"/>
      <c r="F143" s="3"/>
      <c r="G143" s="3"/>
      <c r="H143" s="73"/>
      <c r="I143" s="22"/>
      <c r="J143" s="77"/>
      <c r="Q143" s="104"/>
    </row>
    <row r="144" spans="1:19" ht="18" customHeight="1" x14ac:dyDescent="0.25">
      <c r="A144" s="2">
        <f t="shared" si="2"/>
        <v>48</v>
      </c>
      <c r="C144" s="13" t="str">
        <f>+IF($K$1="EN",Text!$B$29,Text!$C$29)</f>
        <v>Portugal</v>
      </c>
      <c r="D144" s="3"/>
      <c r="E144" s="3"/>
      <c r="F144" s="3"/>
      <c r="G144" s="3"/>
      <c r="H144" s="73"/>
      <c r="I144" s="22"/>
      <c r="J144" s="77"/>
      <c r="L144" s="28"/>
      <c r="M144" s="28"/>
      <c r="N144" s="28"/>
      <c r="O144" s="119"/>
      <c r="P144" s="119"/>
      <c r="Q144" s="103"/>
    </row>
    <row r="145" spans="1:19" ht="18" customHeight="1" x14ac:dyDescent="0.25">
      <c r="A145" s="2">
        <f t="shared" si="2"/>
        <v>49</v>
      </c>
      <c r="C145" s="12" t="str">
        <f>+IF($K$1="EN",Text!$B$27,Text!$C$27)</f>
        <v>Europe</v>
      </c>
      <c r="D145" s="11"/>
      <c r="E145" s="11"/>
      <c r="F145" s="11"/>
      <c r="G145" s="11"/>
      <c r="H145" s="74" t="b">
        <f>ROUND(EN!F144,2)=ROUND(SUM(EN!F142:F143),2)</f>
        <v>1</v>
      </c>
      <c r="I145" s="21" t="b">
        <f>ROUND(EN!I144,2)=ROUND(SUM(EN!I142:I143),2)</f>
        <v>1</v>
      </c>
      <c r="J145" s="85" t="b">
        <f>ROUND(EN!J144,2)=ROUND(SUM(EN!J142:J143),2)</f>
        <v>1</v>
      </c>
      <c r="L145" s="28"/>
      <c r="M145" s="28"/>
      <c r="N145" s="28"/>
      <c r="O145" s="119"/>
      <c r="P145" s="119"/>
      <c r="Q145" s="103"/>
      <c r="S145" s="115" t="s">
        <v>187</v>
      </c>
    </row>
    <row r="146" spans="1:19" ht="18" customHeight="1" x14ac:dyDescent="0.25">
      <c r="A146" s="2">
        <f t="shared" si="2"/>
        <v>50</v>
      </c>
      <c r="C146" s="13" t="str">
        <f>+IF($K$1="EN",Text!$B$35,Text!$C$35)</f>
        <v>US</v>
      </c>
      <c r="D146" s="3"/>
      <c r="E146" s="3"/>
      <c r="F146" s="3"/>
      <c r="G146" s="3"/>
      <c r="H146" s="73"/>
      <c r="I146" s="22"/>
      <c r="J146" s="77"/>
      <c r="L146" s="28"/>
      <c r="M146" s="28"/>
      <c r="N146" s="28"/>
      <c r="O146" s="119"/>
      <c r="P146" s="119"/>
      <c r="Q146" s="103"/>
    </row>
    <row r="147" spans="1:19" ht="18" customHeight="1" x14ac:dyDescent="0.25">
      <c r="A147" s="2">
        <f t="shared" si="2"/>
        <v>51</v>
      </c>
      <c r="C147" s="12" t="str">
        <f>+IF($K$1="EN",Text!$B$34,Text!$C$34)</f>
        <v>North America</v>
      </c>
      <c r="D147" s="11"/>
      <c r="E147" s="11"/>
      <c r="F147" s="11"/>
      <c r="G147" s="11"/>
      <c r="H147" s="74" t="b">
        <f>ROUND(EN!F146,2)=ROUND(SUM(EN!F145:F145),2)</f>
        <v>1</v>
      </c>
      <c r="I147" s="21" t="b">
        <f>ROUND(EN!I146,2)=ROUND(SUM(EN!I145:I145),2)</f>
        <v>1</v>
      </c>
      <c r="J147" s="85" t="b">
        <f>ROUND(EN!J146,2)=ROUND(SUM(EN!J145:J145),2)</f>
        <v>1</v>
      </c>
      <c r="L147" s="28"/>
      <c r="M147" s="28"/>
      <c r="N147" s="28"/>
      <c r="O147" s="119"/>
      <c r="P147" s="119"/>
      <c r="Q147" s="103"/>
      <c r="S147" s="115" t="s">
        <v>187</v>
      </c>
    </row>
    <row r="148" spans="1:19" ht="18" customHeight="1" x14ac:dyDescent="0.25">
      <c r="A148" s="2">
        <f t="shared" si="2"/>
        <v>52</v>
      </c>
      <c r="C148" s="10" t="str">
        <f>+IF($K$1="EN",Text!$B$56,Text!$C$56)</f>
        <v>Eq. Consolidated</v>
      </c>
      <c r="D148" s="10"/>
      <c r="E148" s="10"/>
      <c r="F148" s="10"/>
      <c r="G148" s="10"/>
      <c r="H148" s="75" t="b">
        <f>ROUND(EN!F147,2)=ROUND(EN!F144+EN!F146,2)</f>
        <v>1</v>
      </c>
      <c r="I148" s="20" t="b">
        <f>ROUND(EN!I147,2)=ROUND(EN!I144+EN!I146,2)</f>
        <v>1</v>
      </c>
      <c r="J148" s="109" t="b">
        <f>ROUND(EN!J147,2)=ROUND(EN!J144+EN!J146,2)</f>
        <v>1</v>
      </c>
      <c r="Q148" s="104"/>
      <c r="S148" s="115" t="s">
        <v>187</v>
      </c>
    </row>
    <row r="149" spans="1:19" ht="18" customHeight="1" x14ac:dyDescent="0.25">
      <c r="A149" s="2">
        <f t="shared" si="2"/>
        <v>53</v>
      </c>
      <c r="C149" s="9" t="e">
        <f>+IF($K$1="EN",Text!#REF!,Text!#REF!)</f>
        <v>#REF!</v>
      </c>
      <c r="D149" s="9"/>
      <c r="E149" s="9"/>
      <c r="F149" s="9"/>
      <c r="G149" s="9"/>
      <c r="H149" s="75" t="b">
        <f>ROUND(EN!F148,2)=ROUND(EN!F141+EN!F147,2)</f>
        <v>1</v>
      </c>
      <c r="I149" s="20" t="b">
        <f>ROUND(EN!I148,2)=ROUND(EN!I141+EN!I147,2)</f>
        <v>1</v>
      </c>
      <c r="J149" s="111" t="b">
        <f>ROUND(EN!J148,2)=ROUND(EN!J141+EN!J147,2)</f>
        <v>1</v>
      </c>
      <c r="L149" s="9" t="str">
        <f>+IF($K$1="EN",Text!$B$16,Text!$C$16)</f>
        <v>Onshore Wind Additions YTD</v>
      </c>
      <c r="M149" s="9"/>
      <c r="N149" s="9"/>
      <c r="O149" s="27"/>
      <c r="P149" s="53"/>
      <c r="Q149" s="113"/>
      <c r="S149" s="115" t="s">
        <v>187</v>
      </c>
    </row>
    <row r="150" spans="1:19" ht="18" customHeight="1" x14ac:dyDescent="0.25">
      <c r="A150" s="2">
        <f t="shared" si="2"/>
        <v>54</v>
      </c>
      <c r="Q150" s="104"/>
    </row>
    <row r="151" spans="1:19" ht="18" customHeight="1" x14ac:dyDescent="0.25">
      <c r="A151" s="2">
        <f t="shared" si="2"/>
        <v>55</v>
      </c>
    </row>
    <row r="152" spans="1:19" ht="24.75" customHeight="1" thickBot="1" x14ac:dyDescent="0.55000000000000004">
      <c r="A152" s="2">
        <f t="shared" si="2"/>
        <v>56</v>
      </c>
      <c r="C152" s="19" t="str">
        <f>+IF($K$1="EN",Text!$B$22,Text!$C$22)</f>
        <v>Solar &amp; BESS</v>
      </c>
      <c r="D152" s="18"/>
      <c r="E152" s="18"/>
      <c r="F152" s="18"/>
      <c r="G152" s="18"/>
      <c r="H152" s="18"/>
      <c r="I152" s="18"/>
      <c r="J152" s="18"/>
      <c r="L152" s="17" t="str">
        <f>+IF($K$1="EN",Text!$B$15,Text!$C$15)</f>
        <v>Capacity Additions YTD</v>
      </c>
      <c r="M152" s="16"/>
      <c r="N152" s="16"/>
      <c r="O152" s="16"/>
      <c r="P152" s="16"/>
      <c r="Q152" s="16"/>
    </row>
    <row r="153" spans="1:19" ht="18" customHeight="1" x14ac:dyDescent="0.25">
      <c r="A153" s="2">
        <f t="shared" si="2"/>
        <v>57</v>
      </c>
      <c r="P153"/>
      <c r="Q153"/>
    </row>
    <row r="154" spans="1:19" ht="18" customHeight="1" x14ac:dyDescent="0.25">
      <c r="A154" s="2">
        <f t="shared" si="2"/>
        <v>58</v>
      </c>
      <c r="C154" s="14" t="s">
        <v>9</v>
      </c>
      <c r="D154" s="15"/>
      <c r="E154" s="15"/>
      <c r="F154" s="15"/>
      <c r="G154" s="15"/>
      <c r="H154" s="26" t="e">
        <f>+CURPEN</f>
        <v>#NAME?</v>
      </c>
      <c r="I154" s="25" t="s">
        <v>8</v>
      </c>
      <c r="J154" s="116" t="str">
        <f>+IF($K$1="EN",Text!$B$63,Text!$C$63)</f>
        <v>U/C</v>
      </c>
      <c r="L154" s="14" t="str">
        <f>+IF($K$1="EN",Text!$B$53,Text!$C$53)</f>
        <v>Project</v>
      </c>
      <c r="M154" s="14"/>
      <c r="N154" s="600" t="str">
        <f>+IF($K$1="EN",Text!$B$54,Text!$C$54)</f>
        <v>Country</v>
      </c>
      <c r="O154" s="600"/>
      <c r="P154" s="116"/>
      <c r="Q154" s="116" t="s">
        <v>9</v>
      </c>
    </row>
    <row r="155" spans="1:19" ht="18" customHeight="1" x14ac:dyDescent="0.25">
      <c r="A155" s="2">
        <f t="shared" si="2"/>
        <v>59</v>
      </c>
      <c r="C155" s="13" t="str">
        <f>+IF($K$1="EN",Text!$B$29,Text!$C$29)</f>
        <v>Portugal</v>
      </c>
      <c r="D155" s="3"/>
      <c r="E155" s="3"/>
      <c r="F155" s="3"/>
      <c r="G155" s="3"/>
      <c r="H155" s="73"/>
      <c r="I155" s="24"/>
      <c r="J155" s="77"/>
      <c r="L155" s="3"/>
      <c r="M155" s="3"/>
      <c r="N155" s="601"/>
      <c r="O155" s="601"/>
      <c r="P155" s="72"/>
      <c r="Q155" s="103"/>
    </row>
    <row r="156" spans="1:19" ht="18" customHeight="1" x14ac:dyDescent="0.25">
      <c r="A156" s="2">
        <f t="shared" si="2"/>
        <v>60</v>
      </c>
      <c r="C156" s="13" t="str">
        <f>+IF($K$1="EN",Text!$B$30,Text!$C$30)</f>
        <v>Rest of Europe</v>
      </c>
      <c r="D156" s="3"/>
      <c r="E156" s="3"/>
      <c r="F156" s="3"/>
      <c r="G156" s="3"/>
      <c r="H156" s="73"/>
      <c r="I156" s="22"/>
      <c r="J156" s="77"/>
      <c r="L156" s="3"/>
      <c r="M156" s="3"/>
      <c r="N156" s="599"/>
      <c r="O156" s="599"/>
      <c r="P156" s="72"/>
      <c r="Q156" s="103"/>
      <c r="S156" s="115"/>
    </row>
    <row r="157" spans="1:19" ht="18" customHeight="1" x14ac:dyDescent="0.25">
      <c r="A157" s="2">
        <f t="shared" si="2"/>
        <v>61</v>
      </c>
      <c r="C157" s="12" t="str">
        <f>+IF($K$1="EN",Text!$B$27,Text!$C$27)</f>
        <v>Europe</v>
      </c>
      <c r="D157" s="11"/>
      <c r="E157" s="11"/>
      <c r="F157" s="11"/>
      <c r="G157" s="11"/>
      <c r="H157" s="74" t="b">
        <f>ROUND(EN!F156,2)=ROUND(SUM(EN!F153:F155),2)</f>
        <v>1</v>
      </c>
      <c r="I157" s="21" t="b">
        <f>ROUND(EN!I156,2)=ROUND(SUM(EN!I153:I155),2)</f>
        <v>1</v>
      </c>
      <c r="J157" s="85" t="b">
        <f>ROUND(EN!J156,2)=ROUND(SUM(EN!J153:J155),2)</f>
        <v>1</v>
      </c>
      <c r="L157" s="3"/>
      <c r="M157" s="3"/>
      <c r="N157" s="3"/>
      <c r="O157" s="118"/>
      <c r="P157" s="118"/>
      <c r="Q157" s="105"/>
      <c r="S157" s="115" t="s">
        <v>187</v>
      </c>
    </row>
    <row r="158" spans="1:19" ht="18" customHeight="1" x14ac:dyDescent="0.25">
      <c r="A158" s="2">
        <f t="shared" si="2"/>
        <v>62</v>
      </c>
      <c r="C158" s="13" t="str">
        <f>+IF($K$1="EN",Text!$B$35,Text!$C$35)</f>
        <v>US</v>
      </c>
      <c r="D158" s="3"/>
      <c r="E158" s="3"/>
      <c r="F158" s="3"/>
      <c r="G158" s="3"/>
      <c r="H158" s="73"/>
      <c r="I158" s="22"/>
      <c r="J158" s="77"/>
      <c r="L158" s="3"/>
      <c r="M158" s="3"/>
      <c r="N158" s="3"/>
      <c r="O158" s="118"/>
      <c r="P158" s="3"/>
      <c r="Q158" s="106"/>
    </row>
    <row r="159" spans="1:19" ht="18" customHeight="1" x14ac:dyDescent="0.25">
      <c r="A159" s="2">
        <f t="shared" si="2"/>
        <v>63</v>
      </c>
      <c r="C159" s="13" t="str">
        <f>+IF($K$1="EN",Text!$B$37,Text!$C$37)</f>
        <v>Mexico</v>
      </c>
      <c r="D159" s="3"/>
      <c r="E159" s="3"/>
      <c r="F159" s="3"/>
      <c r="G159" s="3"/>
      <c r="H159" s="73"/>
      <c r="I159" s="22"/>
      <c r="J159" s="77"/>
      <c r="L159" s="3"/>
      <c r="M159" s="3"/>
      <c r="N159" s="3"/>
      <c r="O159" s="118"/>
      <c r="P159" s="3"/>
      <c r="Q159" s="106"/>
    </row>
    <row r="160" spans="1:19" ht="18" customHeight="1" x14ac:dyDescent="0.25">
      <c r="A160" s="2">
        <f t="shared" si="2"/>
        <v>64</v>
      </c>
      <c r="B160"/>
      <c r="C160" s="12" t="str">
        <f>+IF($K$1="EN",Text!$B$34,Text!$C$34)</f>
        <v>North America</v>
      </c>
      <c r="D160" s="11"/>
      <c r="E160" s="11"/>
      <c r="F160" s="11"/>
      <c r="G160" s="11"/>
      <c r="H160" s="74" t="b">
        <f>ROUND(EN!F159,2)=ROUND(SUM(EN!F157:F158),2)</f>
        <v>1</v>
      </c>
      <c r="I160" s="21" t="b">
        <f>ROUND(EN!I159,2)=ROUND(SUM(EN!I157:I158),2)</f>
        <v>1</v>
      </c>
      <c r="J160" s="85" t="b">
        <f>ROUND(EN!J159,2)=ROUND(SUM(EN!J157:J158),2)</f>
        <v>1</v>
      </c>
      <c r="L160" s="3"/>
      <c r="M160" s="3"/>
      <c r="N160" s="3"/>
      <c r="O160" s="118"/>
      <c r="P160" s="3"/>
      <c r="Q160" s="106"/>
      <c r="S160" s="115" t="s">
        <v>187</v>
      </c>
    </row>
    <row r="161" spans="1:51" ht="18" customHeight="1" x14ac:dyDescent="0.25">
      <c r="A161" s="2">
        <f t="shared" si="2"/>
        <v>65</v>
      </c>
      <c r="B161"/>
      <c r="C161" s="13" t="str">
        <f>+IF($K$1="EN",Text!$B$42,Text!$C$42)</f>
        <v>Brazil &amp; Chile</v>
      </c>
      <c r="H161" s="73"/>
      <c r="I161" s="22"/>
      <c r="J161" s="77"/>
      <c r="L161" s="3"/>
      <c r="M161" s="3"/>
      <c r="N161" s="3"/>
      <c r="O161" s="118"/>
      <c r="P161" s="3"/>
      <c r="Q161" s="106"/>
    </row>
    <row r="162" spans="1:51" ht="18" customHeight="1" x14ac:dyDescent="0.25">
      <c r="A162" s="2">
        <f t="shared" ref="A162:A187" si="3">A161+1</f>
        <v>66</v>
      </c>
      <c r="B162"/>
      <c r="C162" s="12" t="str">
        <f>+IF($K$1="EN",Text!$B$40,Text!$C$40)</f>
        <v>South America</v>
      </c>
      <c r="H162" s="74" t="b">
        <f>ROUND(EN!F162,2)=ROUND(SUM(EN!F160:F160),2)</f>
        <v>1</v>
      </c>
      <c r="I162" s="21" t="b">
        <f>ROUND(EN!I162,2)=ROUND(SUM(EN!I160:I160),2)</f>
        <v>1</v>
      </c>
      <c r="J162" s="85" t="b">
        <f>ROUND(EN!J162,2)=ROUND(SUM(EN!J160:J160),2)</f>
        <v>0</v>
      </c>
      <c r="L162" s="3"/>
      <c r="M162" s="3"/>
      <c r="N162" s="3"/>
      <c r="O162" s="118"/>
      <c r="P162" s="3"/>
      <c r="Q162" s="106"/>
      <c r="S162" s="115" t="s">
        <v>187</v>
      </c>
    </row>
    <row r="163" spans="1:51" ht="18" customHeight="1" x14ac:dyDescent="0.25">
      <c r="A163" s="2">
        <f t="shared" si="3"/>
        <v>67</v>
      </c>
      <c r="C163" s="13" t="str">
        <f>+IF($K$1="EN",Text!$B$47,Text!$C$47)</f>
        <v>Vietnam</v>
      </c>
      <c r="D163" s="3"/>
      <c r="E163" s="3"/>
      <c r="F163" s="3"/>
      <c r="G163" s="3"/>
      <c r="H163" s="73"/>
      <c r="I163" s="22"/>
      <c r="J163" s="88"/>
      <c r="L163" s="3"/>
      <c r="M163" s="3"/>
      <c r="N163" s="3"/>
      <c r="O163" s="118"/>
      <c r="P163" s="3"/>
      <c r="Q163" s="106"/>
    </row>
    <row r="164" spans="1:51" ht="18" customHeight="1" x14ac:dyDescent="0.25">
      <c r="A164" s="2">
        <f t="shared" si="3"/>
        <v>68</v>
      </c>
      <c r="C164" s="12" t="str">
        <f>+IF($K$1="EN",Text!$B$46,Text!$C$46)</f>
        <v>APAC</v>
      </c>
      <c r="H164" s="74" t="b">
        <f>ROUND(EN!F166,2)=ROUND(SUM(EN!F163:F163),2)</f>
        <v>0</v>
      </c>
      <c r="I164" s="21" t="b">
        <f>ROUND(EN!I166,2)=ROUND(SUM(EN!I163:I163),2)</f>
        <v>0</v>
      </c>
      <c r="J164" s="85" t="b">
        <f>ROUND(EN!J166,2)=ROUND(SUM(EN!J163:J163),2)</f>
        <v>0</v>
      </c>
      <c r="L164" s="3"/>
      <c r="M164" s="3"/>
      <c r="N164" s="3"/>
      <c r="O164" s="118"/>
      <c r="P164" s="3"/>
      <c r="Q164" s="106"/>
      <c r="S164" s="115" t="s">
        <v>187</v>
      </c>
    </row>
    <row r="165" spans="1:51" ht="18" customHeight="1" x14ac:dyDescent="0.25">
      <c r="A165" s="2">
        <f t="shared" si="3"/>
        <v>69</v>
      </c>
      <c r="C165" s="10" t="str">
        <f>+IF($K$1="EN",Text!$B$55,Text!$C$55)</f>
        <v>EBITDA MW</v>
      </c>
      <c r="D165" s="10"/>
      <c r="E165" s="10"/>
      <c r="F165" s="10"/>
      <c r="G165" s="10"/>
      <c r="H165" s="75" t="b">
        <f>ROUND(EN!F167,2)=ROUND(EN!F156+EN!F159+EN!F162+EN!F166,2)</f>
        <v>1</v>
      </c>
      <c r="I165" s="20" t="b">
        <f>ROUND(EN!I167,2)=ROUND(EN!I156+EN!I159+EN!I162+EN!I166,2)</f>
        <v>1</v>
      </c>
      <c r="J165" s="112" t="b">
        <f>ROUND(EN!J167,2)=ROUND(EN!J156+EN!J159+EN!J162+EN!J166,2)</f>
        <v>1</v>
      </c>
      <c r="L165" s="3"/>
      <c r="M165" s="3"/>
      <c r="N165" s="3"/>
      <c r="O165" s="118"/>
      <c r="P165" s="3"/>
      <c r="Q165" s="106"/>
      <c r="S165" s="115" t="s">
        <v>187</v>
      </c>
    </row>
    <row r="166" spans="1:51" ht="18" customHeight="1" x14ac:dyDescent="0.25">
      <c r="A166" s="2">
        <f t="shared" si="3"/>
        <v>70</v>
      </c>
      <c r="C166" s="13" t="str">
        <f>+IF($K$1="EN",Text!$B$35,Text!$C$35)</f>
        <v>US</v>
      </c>
      <c r="D166" s="3"/>
      <c r="E166" s="3"/>
      <c r="F166" s="3"/>
      <c r="G166" s="3"/>
      <c r="H166" s="73"/>
      <c r="I166" s="22"/>
      <c r="J166" s="77"/>
      <c r="L166" s="3"/>
      <c r="M166" s="3"/>
      <c r="N166" s="3"/>
      <c r="O166" s="118"/>
      <c r="P166" s="3"/>
      <c r="Q166" s="106"/>
    </row>
    <row r="167" spans="1:51" ht="18" customHeight="1" x14ac:dyDescent="0.25">
      <c r="A167" s="2">
        <f t="shared" si="3"/>
        <v>71</v>
      </c>
      <c r="C167" s="12" t="str">
        <f>+IF($K$1="EN",Text!$B$34,Text!$C$34)</f>
        <v>North America</v>
      </c>
      <c r="D167" s="11"/>
      <c r="E167" s="11"/>
      <c r="F167" s="11"/>
      <c r="G167" s="11"/>
      <c r="H167" s="74" t="b">
        <f>ROUND(EN!F169,2)=ROUND(SUM(EN!F168:F168),2)</f>
        <v>1</v>
      </c>
      <c r="I167" s="21" t="b">
        <f>ROUND(EN!I169,2)=ROUND(SUM(EN!I168:I168),2)</f>
        <v>1</v>
      </c>
      <c r="J167" s="85" t="b">
        <f>ROUND(EN!J169,2)=ROUND(SUM(EN!J168:J168),2)</f>
        <v>1</v>
      </c>
      <c r="L167" s="3"/>
      <c r="M167" s="3"/>
      <c r="N167" s="3"/>
      <c r="O167" s="118"/>
      <c r="P167" s="3"/>
      <c r="Q167" s="106"/>
      <c r="S167" s="115" t="s">
        <v>187</v>
      </c>
    </row>
    <row r="168" spans="1:51" ht="18" customHeight="1" x14ac:dyDescent="0.25">
      <c r="A168" s="2">
        <f t="shared" si="3"/>
        <v>72</v>
      </c>
      <c r="C168" s="10" t="str">
        <f>+IF($K$1="EN",Text!$B$56,Text!$C$56)</f>
        <v>Eq. Consolidated</v>
      </c>
      <c r="D168" s="10"/>
      <c r="E168" s="10"/>
      <c r="F168" s="10"/>
      <c r="G168" s="10"/>
      <c r="H168" s="75" t="b">
        <f>ROUND(EN!F171,2)=ROUND(EN!F169,2)</f>
        <v>0</v>
      </c>
      <c r="I168" s="20" t="b">
        <f>ROUND(EN!I171,2)=ROUND(EN!I169,2)</f>
        <v>0</v>
      </c>
      <c r="J168" s="109" t="b">
        <f>ROUND(EN!J171,2)=ROUND(EN!J169,2)</f>
        <v>1</v>
      </c>
      <c r="Q168" s="104"/>
      <c r="S168" s="115" t="s">
        <v>187</v>
      </c>
    </row>
    <row r="169" spans="1:51" ht="18" customHeight="1" x14ac:dyDescent="0.25">
      <c r="A169" s="2">
        <f t="shared" si="3"/>
        <v>73</v>
      </c>
      <c r="C169" s="9" t="e">
        <f>+IF($K$1="EN",Text!#REF!,Text!#REF!)</f>
        <v>#REF!</v>
      </c>
      <c r="D169" s="9"/>
      <c r="E169" s="9"/>
      <c r="F169" s="9"/>
      <c r="G169" s="9"/>
      <c r="H169" s="75" t="b">
        <f>ROUND(EN!F172,2)=ROUND(EN!F167+EN!F171,2)</f>
        <v>1</v>
      </c>
      <c r="I169" s="20" t="b">
        <f>ROUND(EN!I172,2)=ROUND(EN!I167+EN!I171,2)</f>
        <v>1</v>
      </c>
      <c r="J169" s="111" t="b">
        <f>ROUND(EN!J172,2)=ROUND(EN!J167+EN!J171,2)</f>
        <v>1</v>
      </c>
      <c r="L169" s="9" t="str">
        <f>+IF($K$1="EN",Text!$B$17,Text!$C$17)</f>
        <v>Solar Additions YTD</v>
      </c>
      <c r="M169" s="9"/>
      <c r="N169" s="9"/>
      <c r="O169" s="27"/>
      <c r="P169" s="53"/>
      <c r="Q169" s="113"/>
      <c r="S169" s="115" t="s">
        <v>187</v>
      </c>
    </row>
    <row r="170" spans="1:51" ht="18" customHeight="1" x14ac:dyDescent="0.25">
      <c r="A170" s="2">
        <f t="shared" si="3"/>
        <v>74</v>
      </c>
      <c r="H170" s="90"/>
      <c r="Q170" s="104"/>
    </row>
    <row r="171" spans="1:51" s="81" customFormat="1" ht="19.5" customHeight="1" x14ac:dyDescent="0.35">
      <c r="A171" s="80">
        <f t="shared" si="3"/>
        <v>75</v>
      </c>
      <c r="U171"/>
      <c r="V171"/>
      <c r="W171"/>
      <c r="X171"/>
      <c r="Y171"/>
      <c r="Z171"/>
      <c r="AA171"/>
      <c r="AB171"/>
      <c r="AC171"/>
      <c r="AD171"/>
      <c r="AE171"/>
      <c r="AF171"/>
      <c r="AG171"/>
      <c r="AH171"/>
      <c r="AI171"/>
      <c r="AJ171"/>
      <c r="AK171"/>
      <c r="AL171"/>
      <c r="AM171"/>
      <c r="AN171"/>
      <c r="AO171"/>
      <c r="AP171"/>
      <c r="AQ171"/>
      <c r="AR171"/>
      <c r="AS171"/>
      <c r="AT171"/>
      <c r="AU171"/>
      <c r="AV171"/>
      <c r="AW171"/>
      <c r="AX171"/>
      <c r="AY171"/>
    </row>
    <row r="172" spans="1:51" ht="23" thickBot="1" x14ac:dyDescent="0.55000000000000004">
      <c r="A172" s="2">
        <f t="shared" si="3"/>
        <v>76</v>
      </c>
      <c r="C172" s="19" t="str">
        <f>+IF($K$1="EN",Text!$B$23,Text!$C$23)</f>
        <v>Offshore Wind</v>
      </c>
      <c r="D172" s="82"/>
      <c r="E172" s="82"/>
      <c r="F172" s="82"/>
      <c r="G172" s="82"/>
      <c r="H172" s="82"/>
      <c r="I172" s="82"/>
      <c r="J172" s="82"/>
      <c r="K172" s="81"/>
      <c r="L172" s="17" t="str">
        <f>+IF($K$1="EN",Text!$B$15,Text!$C$15)</f>
        <v>Capacity Additions YTD</v>
      </c>
      <c r="M172" s="83"/>
      <c r="N172" s="83"/>
      <c r="O172" s="83"/>
      <c r="P172" s="83"/>
      <c r="Q172" s="83"/>
    </row>
    <row r="173" spans="1:51" ht="18" customHeight="1" x14ac:dyDescent="0.25">
      <c r="A173" s="2">
        <f t="shared" si="3"/>
        <v>77</v>
      </c>
      <c r="P173"/>
      <c r="Q173"/>
    </row>
    <row r="174" spans="1:51" ht="18" customHeight="1" x14ac:dyDescent="0.25">
      <c r="A174" s="2">
        <f t="shared" si="3"/>
        <v>78</v>
      </c>
      <c r="C174" s="14" t="s">
        <v>9</v>
      </c>
      <c r="D174" s="15"/>
      <c r="E174" s="15"/>
      <c r="F174" s="15"/>
      <c r="G174" s="15"/>
      <c r="H174" s="26" t="e">
        <f>+CURPEN</f>
        <v>#NAME?</v>
      </c>
      <c r="I174" s="25" t="s">
        <v>8</v>
      </c>
      <c r="J174" s="116" t="str">
        <f>+IF($K$1="EN",Text!$B$63,Text!$C$63)</f>
        <v>U/C</v>
      </c>
      <c r="L174" s="14" t="str">
        <f>+IF($K$1="EN",Text!$B$53,Text!$C$53)</f>
        <v>Project</v>
      </c>
      <c r="M174" s="14"/>
      <c r="N174" s="600" t="str">
        <f>+IF($K$1="EN",Text!$B$54,Text!$C$54)</f>
        <v>Country</v>
      </c>
      <c r="O174" s="600"/>
      <c r="P174" s="116"/>
      <c r="Q174" s="116" t="s">
        <v>9</v>
      </c>
    </row>
    <row r="175" spans="1:51" ht="18" customHeight="1" x14ac:dyDescent="0.25">
      <c r="A175" s="2">
        <f t="shared" si="3"/>
        <v>79</v>
      </c>
      <c r="B175" s="89"/>
      <c r="C175" s="13" t="str">
        <f>+IF($K$1="EN",Text!$B$29,Text!$C$29)</f>
        <v>Portugal</v>
      </c>
      <c r="D175" s="3"/>
      <c r="E175" s="3"/>
      <c r="F175" s="3"/>
      <c r="G175" s="3"/>
      <c r="H175" s="73"/>
      <c r="I175" s="22"/>
      <c r="J175" s="77"/>
      <c r="L175" s="3"/>
      <c r="M175" s="3"/>
      <c r="N175" s="602"/>
      <c r="O175" s="602"/>
      <c r="Q175" s="105"/>
    </row>
    <row r="176" spans="1:51" ht="18" customHeight="1" x14ac:dyDescent="0.25">
      <c r="A176" s="2">
        <f t="shared" si="3"/>
        <v>80</v>
      </c>
      <c r="B176" s="89"/>
      <c r="C176" s="13" t="str">
        <f>+IF($K$1="EN",Text!$B$30,Text!$C$30)</f>
        <v>Rest of Europe</v>
      </c>
      <c r="D176" s="3"/>
      <c r="E176" s="3"/>
      <c r="F176" s="3"/>
      <c r="G176" s="3"/>
      <c r="H176" s="73"/>
      <c r="I176" s="22"/>
      <c r="J176" s="77"/>
      <c r="L176" s="3"/>
      <c r="M176" s="3"/>
      <c r="N176" s="3"/>
      <c r="O176" s="118"/>
      <c r="Q176" s="105"/>
    </row>
    <row r="177" spans="1:19" ht="18" customHeight="1" x14ac:dyDescent="0.25">
      <c r="A177" s="2">
        <f t="shared" si="3"/>
        <v>81</v>
      </c>
      <c r="B177" s="89"/>
      <c r="C177" s="12" t="str">
        <f>+IF($K$1="EN",Text!$B$27,Text!$C$27)</f>
        <v>Europe</v>
      </c>
      <c r="D177" s="11"/>
      <c r="E177" s="11"/>
      <c r="F177" s="11"/>
      <c r="G177" s="11"/>
      <c r="H177" s="74" t="b">
        <f>ROUND(EN!F181,2)=ROUND(SUM(EN!F177:F178),2)</f>
        <v>0</v>
      </c>
      <c r="I177" s="21" t="b">
        <f>ROUND(EN!I181,2)=ROUND(SUM(EN!I177:I178),2)</f>
        <v>1</v>
      </c>
      <c r="J177" s="78" t="b">
        <f>ROUND(EN!J181,2)=ROUND(SUM(EN!J177:J178),2)</f>
        <v>0</v>
      </c>
      <c r="L177" s="3"/>
      <c r="M177" s="3"/>
      <c r="N177" s="3"/>
      <c r="O177" s="118"/>
      <c r="P177" s="3"/>
      <c r="Q177" s="105"/>
      <c r="S177" s="115" t="s">
        <v>187</v>
      </c>
    </row>
    <row r="178" spans="1:19" ht="18" customHeight="1" x14ac:dyDescent="0.25">
      <c r="A178" s="2">
        <f t="shared" si="3"/>
        <v>82</v>
      </c>
      <c r="B178" s="89"/>
      <c r="C178" s="10" t="str">
        <f>+IF($K$1="EN",Text!$B$57,Text!$C$57)</f>
        <v>EDPR Eq. Consolidated</v>
      </c>
      <c r="D178" s="10"/>
      <c r="E178" s="10"/>
      <c r="F178" s="10"/>
      <c r="G178" s="10"/>
      <c r="H178" s="75" t="b">
        <f>ROUND(EN!F182,2)=ROUND(EN!F181,2)</f>
        <v>1</v>
      </c>
      <c r="I178" s="20" t="b">
        <f>ROUND(EN!I182,2)=ROUND(EN!I181,2)</f>
        <v>1</v>
      </c>
      <c r="J178" s="109" t="b">
        <f>ROUND(EN!J182,2)=ROUND(EN!J181,2)</f>
        <v>1</v>
      </c>
      <c r="L178" s="9" t="str">
        <f>+IF($K$1="EN",Text!$B$18,Text!$C$18)</f>
        <v>Offshore Wind Additions YTD</v>
      </c>
      <c r="M178" s="9"/>
      <c r="N178" s="9"/>
      <c r="O178" s="27"/>
      <c r="P178" s="53"/>
      <c r="Q178" s="113"/>
      <c r="S178" s="115" t="s">
        <v>187</v>
      </c>
    </row>
    <row r="179" spans="1:19" ht="18" customHeight="1" x14ac:dyDescent="0.25">
      <c r="A179" s="2">
        <f t="shared" si="3"/>
        <v>83</v>
      </c>
      <c r="B179" s="89"/>
      <c r="C179" s="9"/>
      <c r="D179" s="9"/>
      <c r="E179" s="9"/>
      <c r="F179" s="9"/>
      <c r="G179" s="9"/>
      <c r="H179" s="75"/>
      <c r="I179" s="20"/>
      <c r="J179" s="78"/>
      <c r="L179" s="3"/>
      <c r="M179" s="3"/>
      <c r="N179" s="3"/>
      <c r="O179" s="118"/>
      <c r="P179" s="3"/>
      <c r="Q179" s="105"/>
    </row>
    <row r="180" spans="1:19" ht="18" customHeight="1" x14ac:dyDescent="0.25">
      <c r="A180" s="2">
        <f t="shared" si="3"/>
        <v>84</v>
      </c>
      <c r="B180" s="89"/>
      <c r="C180" s="9" t="str">
        <f>+IF($K$1="EN",Text!$B$59,Text!$C$59)</f>
        <v>Ocean Winds Gross Capacity</v>
      </c>
      <c r="D180" s="9"/>
      <c r="E180" s="9"/>
      <c r="F180" s="9"/>
      <c r="G180" s="9"/>
      <c r="H180" s="75"/>
      <c r="I180" s="20"/>
      <c r="J180" s="112"/>
      <c r="L180" s="9" t="str">
        <f>+IF($K$1="EN",Text!$B$19,Text!$C$19)</f>
        <v>Offshore Wind Gross Additions YTD</v>
      </c>
      <c r="M180" s="9"/>
      <c r="N180" s="9"/>
      <c r="O180" s="27"/>
      <c r="P180" s="53"/>
      <c r="Q180" s="113"/>
    </row>
    <row r="181" spans="1:19" ht="18" customHeight="1" x14ac:dyDescent="0.25">
      <c r="A181" s="2">
        <f t="shared" si="3"/>
        <v>85</v>
      </c>
      <c r="B181" s="89"/>
      <c r="Q181" s="104"/>
    </row>
    <row r="182" spans="1:19" ht="24.75" customHeight="1" x14ac:dyDescent="0.25">
      <c r="A182" s="2">
        <f t="shared" si="3"/>
        <v>86</v>
      </c>
      <c r="S182" s="1" t="s">
        <v>188</v>
      </c>
    </row>
    <row r="183" spans="1:19" ht="18" customHeight="1" x14ac:dyDescent="0.25">
      <c r="A183" s="2">
        <f t="shared" si="3"/>
        <v>87</v>
      </c>
    </row>
    <row r="184" spans="1:19" ht="18" customHeight="1" x14ac:dyDescent="0.25">
      <c r="A184" s="2">
        <f t="shared" si="3"/>
        <v>88</v>
      </c>
    </row>
    <row r="185" spans="1:19" ht="18" customHeight="1" x14ac:dyDescent="0.25">
      <c r="A185" s="2">
        <f t="shared" si="3"/>
        <v>89</v>
      </c>
      <c r="C185" s="8" t="e">
        <f>+IF($K$1="EN",Text!#REF!,Text!#REF!)</f>
        <v>#REF!</v>
      </c>
    </row>
    <row r="186" spans="1:19" ht="18" customHeight="1" x14ac:dyDescent="0.25">
      <c r="A186" s="2">
        <f t="shared" si="3"/>
        <v>90</v>
      </c>
      <c r="N186" s="603" t="str">
        <f>+IF($K$1="EN",Text!$B$72,Text!$C$72)</f>
        <v>EDPR Investor Relations</v>
      </c>
      <c r="O186" s="603"/>
      <c r="P186" s="603"/>
      <c r="Q186" s="604" t="str">
        <f>+IF($K$1="EN",Text!$B$73,Text!$C$73)</f>
        <v>Phone: +34 900 830 004</v>
      </c>
      <c r="R186" s="605"/>
    </row>
    <row r="187" spans="1:19" ht="18" customHeight="1" x14ac:dyDescent="0.25">
      <c r="A187" s="2">
        <f t="shared" si="3"/>
        <v>91</v>
      </c>
      <c r="C187" s="7" t="str">
        <f>+IF($K$1="EN",Text!$B$76,Text!$C$76)</f>
        <v>EDP Renováveis, S.A. | Head office: Plaza del Fresno, 2 - 33007 Oviedo, Spain</v>
      </c>
      <c r="M187" s="6"/>
      <c r="O187" s="598" t="str">
        <f>+IF($K$1="EN",Text!$B$75,Text!$C$75)</f>
        <v>Site: www.edpr-investors.com</v>
      </c>
      <c r="P187" s="598"/>
      <c r="Q187" s="117" t="str">
        <f>+IF($K$1="EN",Text!$B$74,Text!$C$74)</f>
        <v>Email: ir@edpr.com</v>
      </c>
    </row>
    <row r="192" spans="1:19" ht="18" customHeight="1" x14ac:dyDescent="0.25">
      <c r="I192" s="3"/>
      <c r="J192" s="3"/>
      <c r="L192" s="3"/>
    </row>
    <row r="193" spans="8:12" ht="18" customHeight="1" x14ac:dyDescent="0.25">
      <c r="H193" s="3"/>
      <c r="I193" s="3"/>
      <c r="J193" s="3"/>
      <c r="K193" s="5"/>
      <c r="L193" s="3"/>
    </row>
    <row r="194" spans="8:12" ht="18" customHeight="1" x14ac:dyDescent="0.25">
      <c r="I194" s="3"/>
      <c r="J194" s="3"/>
      <c r="L194" s="3"/>
    </row>
    <row r="195" spans="8:12" ht="18" customHeight="1" x14ac:dyDescent="0.25">
      <c r="I195" s="3"/>
      <c r="J195" s="3"/>
      <c r="K195" s="4"/>
      <c r="L195" s="3"/>
    </row>
  </sheetData>
  <mergeCells count="33">
    <mergeCell ref="G30:I30"/>
    <mergeCell ref="N35:O36"/>
    <mergeCell ref="L47:Q47"/>
    <mergeCell ref="N135:O135"/>
    <mergeCell ref="N136:O136"/>
    <mergeCell ref="N137:O137"/>
    <mergeCell ref="N54:O55"/>
    <mergeCell ref="K1:K3"/>
    <mergeCell ref="L28:Q28"/>
    <mergeCell ref="N134:O134"/>
    <mergeCell ref="L66:N66"/>
    <mergeCell ref="O66:Q66"/>
    <mergeCell ref="N95:P95"/>
    <mergeCell ref="Q95:R95"/>
    <mergeCell ref="O96:P96"/>
    <mergeCell ref="L101:Q101"/>
    <mergeCell ref="N109:O110"/>
    <mergeCell ref="N130:O130"/>
    <mergeCell ref="N131:O131"/>
    <mergeCell ref="N132:O132"/>
    <mergeCell ref="N133:O133"/>
    <mergeCell ref="N138:O138"/>
    <mergeCell ref="N139:O139"/>
    <mergeCell ref="N175:O175"/>
    <mergeCell ref="N186:P186"/>
    <mergeCell ref="Q186:R186"/>
    <mergeCell ref="N140:O140"/>
    <mergeCell ref="O187:P187"/>
    <mergeCell ref="N141:O141"/>
    <mergeCell ref="N154:O154"/>
    <mergeCell ref="N155:O155"/>
    <mergeCell ref="N156:O156"/>
    <mergeCell ref="N174:O174"/>
  </mergeCells>
  <conditionalFormatting sqref="A1:T59 AZ1:XFD1048576 A60:B60 K60:T60 A61:T1048576">
    <cfRule type="cellIs" dxfId="3" priority="3" operator="equal">
      <formula>FALSE</formula>
    </cfRule>
    <cfRule type="cellIs" dxfId="2" priority="4" operator="equal">
      <formula>TRUE</formula>
    </cfRule>
  </conditionalFormatting>
  <conditionalFormatting sqref="H60">
    <cfRule type="cellIs" dxfId="1" priority="1" operator="equal">
      <formula>FALSE</formula>
    </cfRule>
    <cfRule type="cellIs" dxfId="0" priority="2" operator="equal">
      <formula>TRUE</formula>
    </cfRule>
  </conditionalFormatting>
  <printOptions horizontalCentered="1" verticalCentered="1"/>
  <pageMargins left="0" right="0" top="0" bottom="0" header="0" footer="0"/>
  <pageSetup paperSize="9" scale="49" orientation="portrait" r:id="rId1"/>
  <headerFooter scaleWithDoc="0" alignWithMargins="0"/>
  <rowBreaks count="2" manualBreakCount="2">
    <brk id="5" min="1" max="17" man="1"/>
    <brk id="96" min="1" max="17"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6839-8CB8-4B35-8422-9D959FC02824}">
  <sheetPr>
    <tabColor theme="2" tint="-9.9978637043366805E-2"/>
  </sheetPr>
  <dimension ref="A1:AI195"/>
  <sheetViews>
    <sheetView view="pageBreakPreview" topLeftCell="A123" zoomScale="60" zoomScaleNormal="70" workbookViewId="0">
      <selection activeCell="J121" sqref="J121"/>
    </sheetView>
  </sheetViews>
  <sheetFormatPr defaultColWidth="12.54296875" defaultRowHeight="18" customHeight="1" x14ac:dyDescent="0.25"/>
  <cols>
    <col min="1" max="1" width="4.81640625" style="120" customWidth="1"/>
    <col min="2" max="2" width="12.54296875" style="121" customWidth="1"/>
    <col min="3" max="5" width="12.54296875" style="121"/>
    <col min="6" max="12" width="12.54296875" style="121" customWidth="1"/>
    <col min="13" max="13" width="12.54296875" style="121"/>
    <col min="14" max="14" width="12.81640625" style="121" bestFit="1" customWidth="1"/>
    <col min="15" max="16" width="12.54296875" style="121"/>
    <col min="17" max="19" width="12.54296875" style="121" customWidth="1"/>
    <col min="20" max="20" width="28.54296875" style="121" bestFit="1" customWidth="1"/>
    <col min="21" max="27" width="10.54296875" style="121" customWidth="1"/>
    <col min="28" max="28" width="17.54296875" style="121" bestFit="1" customWidth="1"/>
    <col min="29" max="16384" width="12.54296875" style="121"/>
  </cols>
  <sheetData>
    <row r="1" spans="1:31" ht="18" customHeight="1" thickBot="1" x14ac:dyDescent="0.3">
      <c r="A1" s="120" t="s">
        <v>0</v>
      </c>
      <c r="H1" s="122"/>
      <c r="I1" s="122"/>
      <c r="T1"/>
      <c r="U1"/>
      <c r="V1"/>
      <c r="W1"/>
      <c r="X1"/>
      <c r="Y1"/>
      <c r="Z1"/>
      <c r="AA1"/>
      <c r="AB1" s="123"/>
      <c r="AC1" s="123"/>
      <c r="AD1" s="123"/>
    </row>
    <row r="2" spans="1:31" ht="18" customHeight="1" thickBot="1" x14ac:dyDescent="0.3">
      <c r="B2" s="230" t="s">
        <v>1</v>
      </c>
      <c r="C2" s="231">
        <f>+EN!Cur_Period</f>
        <v>2025</v>
      </c>
      <c r="D2" s="231" t="str">
        <f>+EN!D2</f>
        <v>25</v>
      </c>
      <c r="E2" s="231">
        <f>+EN!E2</f>
        <v>2025</v>
      </c>
      <c r="G2" s="230" t="s">
        <v>2</v>
      </c>
      <c r="H2" s="233">
        <f>+Cur_Period</f>
        <v>2025</v>
      </c>
      <c r="I2" s="122"/>
      <c r="K2" s="575" t="s">
        <v>3</v>
      </c>
      <c r="M2" s="582" t="s">
        <v>4</v>
      </c>
      <c r="N2" s="625">
        <f>+EN!N2</f>
        <v>0</v>
      </c>
      <c r="T2"/>
      <c r="U2"/>
      <c r="V2"/>
      <c r="W2"/>
      <c r="X2"/>
      <c r="Y2"/>
      <c r="Z2"/>
      <c r="AA2"/>
      <c r="AB2" s="123"/>
      <c r="AC2" s="123"/>
      <c r="AD2" s="123"/>
    </row>
    <row r="3" spans="1:31" ht="18" customHeight="1" thickBot="1" x14ac:dyDescent="0.3">
      <c r="B3" s="230" t="s">
        <v>5</v>
      </c>
      <c r="C3" s="231">
        <f>+EN!Pre_Period</f>
        <v>2024</v>
      </c>
      <c r="D3" s="231" t="str">
        <f>+EN!D3</f>
        <v>24</v>
      </c>
      <c r="E3" s="231">
        <f>+EN!E3</f>
        <v>2024</v>
      </c>
      <c r="F3" s="122"/>
      <c r="G3" s="122"/>
      <c r="H3" s="122"/>
      <c r="I3" s="122"/>
      <c r="K3" s="576"/>
      <c r="M3" s="583"/>
      <c r="N3" s="626"/>
      <c r="T3"/>
      <c r="U3"/>
      <c r="V3"/>
      <c r="W3"/>
      <c r="X3"/>
      <c r="Y3"/>
      <c r="Z3"/>
      <c r="AA3"/>
      <c r="AB3" s="123"/>
      <c r="AC3" s="123"/>
      <c r="AD3" s="123"/>
    </row>
    <row r="4" spans="1:31" ht="18" customHeight="1" thickBot="1" x14ac:dyDescent="0.3">
      <c r="K4" s="577"/>
      <c r="M4" s="584"/>
      <c r="N4" s="627"/>
      <c r="T4"/>
      <c r="U4"/>
      <c r="V4"/>
      <c r="W4"/>
      <c r="X4"/>
      <c r="Y4"/>
      <c r="Z4"/>
      <c r="AA4"/>
    </row>
    <row r="5" spans="1:31" ht="18" customHeight="1" x14ac:dyDescent="0.25">
      <c r="T5"/>
      <c r="U5"/>
      <c r="V5"/>
      <c r="W5"/>
      <c r="X5"/>
      <c r="Y5"/>
      <c r="Z5"/>
      <c r="AA5"/>
    </row>
    <row r="6" spans="1:31" ht="18" customHeight="1" x14ac:dyDescent="0.25">
      <c r="A6" s="120">
        <v>1</v>
      </c>
      <c r="D6" s="124"/>
      <c r="E6" s="124"/>
      <c r="F6" s="124"/>
      <c r="G6" s="124"/>
      <c r="H6" s="124"/>
      <c r="I6" s="124"/>
      <c r="J6" s="124"/>
      <c r="K6" s="124"/>
      <c r="L6" s="124"/>
      <c r="M6" s="124"/>
      <c r="N6" s="124"/>
      <c r="O6" s="124"/>
      <c r="P6" s="124"/>
      <c r="Q6" s="124"/>
      <c r="R6" s="124"/>
      <c r="S6" s="124"/>
      <c r="T6"/>
      <c r="U6"/>
      <c r="V6"/>
      <c r="W6"/>
      <c r="X6"/>
      <c r="Y6"/>
      <c r="Z6"/>
      <c r="AA6"/>
      <c r="AB6" s="126"/>
    </row>
    <row r="7" spans="1:31" ht="51" customHeight="1" x14ac:dyDescent="0.25">
      <c r="A7" s="120">
        <f t="shared" ref="A7:A70" si="0">A6+1</f>
        <v>2</v>
      </c>
      <c r="C7" s="217" t="str">
        <f>+IF($K$2="EN",Text!$B$2,Text!$C$2)</f>
        <v>Operating Data Preview 2025</v>
      </c>
      <c r="D7" s="127"/>
      <c r="E7" s="127"/>
      <c r="F7" s="127"/>
      <c r="G7" s="127"/>
      <c r="I7" s="128"/>
      <c r="L7" s="129"/>
      <c r="M7" s="268" t="str">
        <f>+IF($N$2="YES","DRAFT","")</f>
        <v/>
      </c>
      <c r="N7" s="250"/>
      <c r="T7"/>
      <c r="U7"/>
      <c r="V7"/>
      <c r="W7"/>
      <c r="X7"/>
      <c r="Y7"/>
      <c r="Z7"/>
      <c r="AA7"/>
    </row>
    <row r="8" spans="1:31" ht="24.75" customHeight="1" x14ac:dyDescent="0.25">
      <c r="A8" s="120">
        <f t="shared" si="0"/>
        <v>3</v>
      </c>
      <c r="C8" s="130" t="str">
        <f>+IF($K$2="EN",Text!$B$5,Text!$C$5)</f>
        <v>Madrid, January 22nd, 2026</v>
      </c>
      <c r="D8" s="131"/>
      <c r="E8" s="131"/>
      <c r="F8" s="131"/>
      <c r="G8" s="131"/>
      <c r="H8" s="131"/>
      <c r="I8" s="131"/>
      <c r="J8" s="131"/>
      <c r="K8" s="131"/>
      <c r="L8" s="131"/>
      <c r="M8" s="131"/>
      <c r="N8" s="131"/>
      <c r="O8" s="131"/>
      <c r="P8" s="131"/>
      <c r="Q8" s="131"/>
      <c r="T8"/>
      <c r="U8"/>
      <c r="V8"/>
      <c r="W8"/>
      <c r="X8"/>
      <c r="Y8"/>
      <c r="Z8"/>
      <c r="AA8"/>
      <c r="AB8" s="126"/>
    </row>
    <row r="9" spans="1:31" ht="18" customHeight="1" x14ac:dyDescent="0.25">
      <c r="A9" s="120">
        <f t="shared" si="0"/>
        <v>4</v>
      </c>
      <c r="T9"/>
      <c r="U9"/>
      <c r="V9"/>
      <c r="W9"/>
      <c r="X9"/>
      <c r="Y9"/>
      <c r="Z9"/>
      <c r="AA9"/>
      <c r="AB9" s="126"/>
    </row>
    <row r="10" spans="1:31" ht="18" customHeight="1" thickBot="1" x14ac:dyDescent="0.4">
      <c r="A10" s="120">
        <f t="shared" si="0"/>
        <v>5</v>
      </c>
      <c r="C10" s="134" t="str">
        <f>+IF($K$2="EN",Text!$B$6,Text!$C$6)</f>
        <v>Key Highlights</v>
      </c>
      <c r="D10" s="135"/>
      <c r="E10" s="135"/>
      <c r="F10" s="135"/>
      <c r="G10" s="135"/>
      <c r="H10" s="135"/>
      <c r="I10" s="135"/>
      <c r="J10" s="135"/>
      <c r="K10" s="135"/>
      <c r="L10" s="135"/>
      <c r="M10" s="135"/>
      <c r="N10" s="135"/>
      <c r="O10" s="135"/>
      <c r="P10" s="135"/>
      <c r="Q10" s="135"/>
      <c r="T10"/>
      <c r="U10"/>
      <c r="V10"/>
      <c r="W10"/>
      <c r="X10"/>
      <c r="Y10"/>
      <c r="Z10"/>
      <c r="AA10"/>
      <c r="AB10" s="126"/>
    </row>
    <row r="11" spans="1:31" ht="18" customHeight="1" x14ac:dyDescent="0.25">
      <c r="A11" s="120">
        <f t="shared" si="0"/>
        <v>6</v>
      </c>
      <c r="C11" s="133"/>
      <c r="T11"/>
      <c r="U11"/>
      <c r="V11"/>
      <c r="W11"/>
      <c r="X11"/>
      <c r="Y11"/>
      <c r="Z11"/>
      <c r="AA11"/>
    </row>
    <row r="12" spans="1:31" ht="18" customHeight="1" x14ac:dyDescent="0.25">
      <c r="A12" s="120">
        <f t="shared" si="0"/>
        <v>7</v>
      </c>
      <c r="C12" s="133"/>
      <c r="T12"/>
      <c r="U12"/>
      <c r="V12"/>
      <c r="W12"/>
      <c r="X12"/>
      <c r="Y12"/>
      <c r="Z12"/>
      <c r="AA12"/>
    </row>
    <row r="13" spans="1:31" ht="18" customHeight="1" x14ac:dyDescent="0.25">
      <c r="A13" s="120">
        <f t="shared" si="0"/>
        <v>8</v>
      </c>
      <c r="C13" s="133"/>
      <c r="T13"/>
      <c r="U13"/>
      <c r="V13"/>
      <c r="W13"/>
      <c r="X13"/>
      <c r="Y13"/>
      <c r="Z13"/>
      <c r="AA13"/>
    </row>
    <row r="14" spans="1:31" ht="18" customHeight="1" x14ac:dyDescent="0.25">
      <c r="A14" s="120">
        <f t="shared" si="0"/>
        <v>9</v>
      </c>
      <c r="C14" s="133"/>
      <c r="T14"/>
      <c r="U14"/>
      <c r="V14"/>
      <c r="W14"/>
      <c r="X14"/>
      <c r="Y14"/>
      <c r="Z14"/>
      <c r="AA14"/>
      <c r="AB14" s="122"/>
      <c r="AC14" s="122"/>
      <c r="AD14" s="122"/>
      <c r="AE14" s="122"/>
    </row>
    <row r="15" spans="1:31" ht="18" customHeight="1" x14ac:dyDescent="0.25">
      <c r="A15" s="120">
        <f t="shared" si="0"/>
        <v>10</v>
      </c>
      <c r="C15" s="133"/>
      <c r="T15"/>
      <c r="U15"/>
      <c r="V15"/>
      <c r="W15"/>
      <c r="X15"/>
      <c r="Y15"/>
      <c r="Z15"/>
      <c r="AA15"/>
      <c r="AB15" s="122"/>
      <c r="AC15" s="122"/>
      <c r="AD15" s="122"/>
      <c r="AE15" s="122"/>
    </row>
    <row r="16" spans="1:31" ht="18" customHeight="1" x14ac:dyDescent="0.25">
      <c r="A16" s="120">
        <f t="shared" si="0"/>
        <v>11</v>
      </c>
      <c r="C16" s="133"/>
      <c r="T16"/>
      <c r="U16"/>
      <c r="V16"/>
      <c r="W16"/>
      <c r="X16"/>
      <c r="Y16"/>
      <c r="Z16"/>
      <c r="AA16"/>
      <c r="AB16" s="122"/>
      <c r="AC16" s="122"/>
      <c r="AD16" s="122"/>
      <c r="AE16" s="122"/>
    </row>
    <row r="17" spans="1:32" ht="18" customHeight="1" x14ac:dyDescent="0.25">
      <c r="A17" s="120">
        <f t="shared" si="0"/>
        <v>12</v>
      </c>
      <c r="C17" s="133"/>
      <c r="T17"/>
      <c r="U17"/>
      <c r="V17"/>
      <c r="W17"/>
      <c r="X17"/>
      <c r="Y17"/>
      <c r="Z17"/>
      <c r="AA17"/>
      <c r="AB17" s="122"/>
      <c r="AC17" s="122"/>
      <c r="AD17" s="122"/>
      <c r="AE17" s="122"/>
    </row>
    <row r="18" spans="1:32" ht="18" customHeight="1" x14ac:dyDescent="0.25">
      <c r="A18" s="120">
        <f t="shared" si="0"/>
        <v>13</v>
      </c>
      <c r="C18" s="133"/>
      <c r="T18"/>
      <c r="U18"/>
      <c r="V18"/>
      <c r="W18"/>
      <c r="X18"/>
      <c r="Y18"/>
      <c r="Z18"/>
      <c r="AA18"/>
      <c r="AB18" s="122"/>
      <c r="AC18" s="122"/>
      <c r="AD18" s="122"/>
      <c r="AE18" s="122"/>
    </row>
    <row r="19" spans="1:32" ht="18" customHeight="1" x14ac:dyDescent="0.25">
      <c r="A19" s="120">
        <f t="shared" si="0"/>
        <v>14</v>
      </c>
      <c r="C19" s="133"/>
      <c r="T19"/>
      <c r="U19"/>
      <c r="V19"/>
      <c r="W19"/>
      <c r="X19"/>
      <c r="Y19"/>
      <c r="Z19"/>
      <c r="AA19"/>
      <c r="AB19" s="122"/>
      <c r="AC19" s="122"/>
      <c r="AD19" s="122"/>
      <c r="AE19" s="122"/>
    </row>
    <row r="20" spans="1:32" ht="18" customHeight="1" x14ac:dyDescent="0.25">
      <c r="A20" s="120">
        <f t="shared" si="0"/>
        <v>15</v>
      </c>
      <c r="C20" s="133"/>
      <c r="T20"/>
      <c r="U20"/>
      <c r="V20"/>
      <c r="W20"/>
      <c r="X20"/>
      <c r="Y20"/>
      <c r="Z20"/>
      <c r="AA20"/>
      <c r="AB20" s="122"/>
      <c r="AC20" s="122"/>
      <c r="AD20" s="122"/>
      <c r="AE20" s="122"/>
    </row>
    <row r="21" spans="1:32" ht="18" customHeight="1" x14ac:dyDescent="0.25">
      <c r="A21" s="120">
        <f t="shared" si="0"/>
        <v>16</v>
      </c>
      <c r="C21" s="133"/>
      <c r="T21"/>
      <c r="U21"/>
      <c r="V21"/>
      <c r="W21"/>
      <c r="X21"/>
      <c r="Y21"/>
      <c r="Z21"/>
      <c r="AA21"/>
      <c r="AB21" s="122"/>
      <c r="AC21" s="122"/>
      <c r="AD21" s="122"/>
      <c r="AE21" s="122"/>
    </row>
    <row r="22" spans="1:32" ht="18" customHeight="1" x14ac:dyDescent="0.25">
      <c r="A22" s="120">
        <f t="shared" si="0"/>
        <v>17</v>
      </c>
      <c r="C22" s="133"/>
      <c r="T22"/>
      <c r="U22"/>
      <c r="V22"/>
      <c r="W22"/>
      <c r="X22"/>
      <c r="Y22"/>
      <c r="Z22"/>
      <c r="AA22"/>
      <c r="AB22" s="122"/>
      <c r="AC22" s="122"/>
      <c r="AD22" s="122"/>
      <c r="AE22" s="122"/>
    </row>
    <row r="23" spans="1:32" ht="18" customHeight="1" x14ac:dyDescent="0.25">
      <c r="A23" s="120">
        <f t="shared" si="0"/>
        <v>18</v>
      </c>
      <c r="C23" s="133"/>
      <c r="T23"/>
      <c r="U23"/>
      <c r="V23"/>
      <c r="W23"/>
      <c r="X23"/>
      <c r="Y23"/>
      <c r="Z23"/>
      <c r="AA23"/>
      <c r="AB23" s="122"/>
      <c r="AC23" s="122"/>
      <c r="AD23" s="122"/>
      <c r="AE23" s="122"/>
    </row>
    <row r="24" spans="1:32" ht="18" customHeight="1" x14ac:dyDescent="0.25">
      <c r="A24" s="120">
        <f t="shared" si="0"/>
        <v>19</v>
      </c>
      <c r="C24" s="133"/>
      <c r="T24"/>
      <c r="U24"/>
      <c r="V24"/>
      <c r="W24"/>
      <c r="X24"/>
      <c r="Y24"/>
      <c r="Z24"/>
      <c r="AA24"/>
      <c r="AB24" s="122"/>
      <c r="AC24" s="122"/>
      <c r="AD24" s="122"/>
      <c r="AE24" s="122"/>
    </row>
    <row r="25" spans="1:32" ht="18" customHeight="1" x14ac:dyDescent="0.25">
      <c r="A25" s="120">
        <f t="shared" si="0"/>
        <v>20</v>
      </c>
      <c r="C25" s="133"/>
      <c r="T25"/>
      <c r="U25"/>
      <c r="V25"/>
      <c r="W25"/>
      <c r="X25"/>
      <c r="Y25"/>
      <c r="Z25"/>
      <c r="AA25"/>
      <c r="AB25" s="122"/>
      <c r="AC25" s="122"/>
      <c r="AD25" s="122"/>
      <c r="AE25" s="122"/>
    </row>
    <row r="26" spans="1:32" ht="18" customHeight="1" x14ac:dyDescent="0.25">
      <c r="A26" s="120">
        <f t="shared" si="0"/>
        <v>21</v>
      </c>
      <c r="T26"/>
      <c r="U26"/>
      <c r="V26"/>
      <c r="W26"/>
      <c r="X26"/>
      <c r="Y26"/>
      <c r="Z26"/>
      <c r="AA26"/>
      <c r="AB26" s="122"/>
      <c r="AC26" s="122"/>
      <c r="AD26" s="122"/>
      <c r="AE26" s="122"/>
    </row>
    <row r="27" spans="1:32" ht="18" customHeight="1" x14ac:dyDescent="0.25">
      <c r="A27" s="120">
        <f t="shared" si="0"/>
        <v>22</v>
      </c>
      <c r="T27"/>
      <c r="U27"/>
      <c r="V27"/>
      <c r="W27"/>
      <c r="X27"/>
      <c r="Y27"/>
      <c r="Z27"/>
      <c r="AA27"/>
      <c r="AB27" s="122"/>
      <c r="AC27" s="122"/>
      <c r="AD27" s="122"/>
      <c r="AE27" s="122"/>
    </row>
    <row r="28" spans="1:32" ht="18" customHeight="1" x14ac:dyDescent="0.25">
      <c r="A28" s="120">
        <f t="shared" si="0"/>
        <v>23</v>
      </c>
      <c r="T28"/>
      <c r="U28"/>
      <c r="V28"/>
      <c r="W28"/>
      <c r="X28"/>
      <c r="Y28"/>
      <c r="Z28"/>
      <c r="AA28"/>
      <c r="AB28" s="122"/>
      <c r="AC28" s="122"/>
      <c r="AD28" s="122"/>
      <c r="AE28" s="122"/>
    </row>
    <row r="29" spans="1:32" ht="18" customHeight="1" x14ac:dyDescent="0.25">
      <c r="A29" s="120">
        <f t="shared" si="0"/>
        <v>24</v>
      </c>
      <c r="T29"/>
      <c r="U29"/>
      <c r="V29"/>
      <c r="W29"/>
      <c r="X29"/>
      <c r="Y29"/>
      <c r="Z29"/>
      <c r="AA29"/>
      <c r="AB29" s="122"/>
      <c r="AC29" s="122"/>
      <c r="AD29" s="122"/>
      <c r="AE29" s="122"/>
      <c r="AF29" s="146"/>
    </row>
    <row r="30" spans="1:32" ht="18" customHeight="1" thickBot="1" x14ac:dyDescent="0.4">
      <c r="A30" s="120">
        <f t="shared" si="0"/>
        <v>25</v>
      </c>
      <c r="C30" s="144" t="str">
        <f>+IF($K$2="EN",Text!$B$7,Text!$C$7)</f>
        <v>Installed Capacity</v>
      </c>
      <c r="D30" s="145"/>
      <c r="E30" s="145"/>
      <c r="F30" s="145"/>
      <c r="G30" s="145"/>
      <c r="H30" s="145"/>
      <c r="I30" s="145"/>
      <c r="J30" s="145"/>
      <c r="L30" s="624" t="str">
        <f>+IF($K$2="EN",Text!$B$8,Text!$C$8)</f>
        <v>Installed Capacity by Region</v>
      </c>
      <c r="M30" s="624"/>
      <c r="N30" s="624"/>
      <c r="O30" s="624"/>
      <c r="P30" s="624"/>
      <c r="Q30" s="624"/>
      <c r="T30"/>
      <c r="U30"/>
      <c r="V30"/>
      <c r="W30"/>
      <c r="X30"/>
      <c r="Y30"/>
      <c r="Z30"/>
      <c r="AA30"/>
      <c r="AB30" s="122"/>
      <c r="AC30" s="122"/>
      <c r="AD30" s="122"/>
      <c r="AE30" s="122"/>
      <c r="AF30" s="146"/>
    </row>
    <row r="31" spans="1:32" ht="18" customHeight="1" x14ac:dyDescent="0.25">
      <c r="A31" s="120">
        <f t="shared" si="0"/>
        <v>26</v>
      </c>
      <c r="G31" s="288"/>
      <c r="H31" s="315"/>
      <c r="T31"/>
      <c r="U31"/>
      <c r="V31"/>
      <c r="W31"/>
      <c r="X31"/>
      <c r="Y31"/>
      <c r="Z31"/>
      <c r="AA31"/>
      <c r="AB31" s="122"/>
      <c r="AC31" s="122"/>
      <c r="AD31" s="122"/>
      <c r="AE31" s="122"/>
    </row>
    <row r="32" spans="1:32" ht="18" customHeight="1" x14ac:dyDescent="0.25">
      <c r="A32" s="120">
        <f t="shared" si="0"/>
        <v>27</v>
      </c>
      <c r="C32" s="147" t="str">
        <f>+IF($K$2="EN",Text!$B$58,Text!$C$58)</f>
        <v>EBITDA + Eq. MW</v>
      </c>
      <c r="D32" s="148"/>
      <c r="E32" s="148"/>
      <c r="F32" s="228">
        <f>+Cur_Period</f>
        <v>2025</v>
      </c>
      <c r="G32" s="228">
        <f>Pre_Period</f>
        <v>2024</v>
      </c>
      <c r="H32" s="228" t="str">
        <f>+IF($K$2="EN",Text!$B$61,Text!$C$61)</f>
        <v>Additions</v>
      </c>
      <c r="I32" s="228" t="str">
        <f>+IF($K$2="EN",Text!$B$62,Text!$C$62)</f>
        <v>AR/Decom.</v>
      </c>
      <c r="J32" s="228" t="s">
        <v>13</v>
      </c>
      <c r="T32"/>
      <c r="U32"/>
      <c r="V32"/>
      <c r="W32"/>
      <c r="X32"/>
      <c r="Y32"/>
      <c r="Z32"/>
      <c r="AA32"/>
      <c r="AB32" s="122"/>
      <c r="AC32" s="122"/>
      <c r="AD32" s="122"/>
      <c r="AE32" s="122"/>
    </row>
    <row r="33" spans="1:34" ht="18" customHeight="1" x14ac:dyDescent="0.25">
      <c r="A33" s="120">
        <f t="shared" si="0"/>
        <v>28</v>
      </c>
      <c r="C33" s="151" t="str">
        <f>+IF($K$2="EN",Text!$B$27,Text!$C$27)</f>
        <v>Europe</v>
      </c>
      <c r="D33" s="133"/>
      <c r="E33" s="133"/>
      <c r="F33" s="152" t="b">
        <f>+ROUND(EN!F33,1)=ROUND(EN!G33+EN!H33+EN!I33,1)</f>
        <v>1</v>
      </c>
      <c r="G33" s="149" t="b">
        <f>+ROUND(EN!G33,1)=ROUND(EN!F33-EN!J33,1)</f>
        <v>1</v>
      </c>
      <c r="H33" s="153"/>
      <c r="I33" s="295"/>
      <c r="J33" s="234" t="b">
        <f>+EN!J33=EN!H33+EN!I33</f>
        <v>1</v>
      </c>
      <c r="T33"/>
      <c r="U33"/>
      <c r="V33"/>
      <c r="W33"/>
      <c r="X33"/>
      <c r="Y33"/>
      <c r="Z33"/>
      <c r="AA33"/>
      <c r="AB33" s="122"/>
      <c r="AC33" s="122"/>
      <c r="AD33" s="122"/>
      <c r="AE33" s="122"/>
    </row>
    <row r="34" spans="1:34" ht="18" customHeight="1" x14ac:dyDescent="0.3">
      <c r="A34" s="120">
        <f t="shared" si="0"/>
        <v>29</v>
      </c>
      <c r="C34" s="151" t="str">
        <f>+IF($K$2="EN",Text!$B$34,Text!$C$34)</f>
        <v>North America</v>
      </c>
      <c r="D34" s="133"/>
      <c r="E34" s="133"/>
      <c r="F34" s="152" t="b">
        <f>+ROUND(EN!F34,0)=ROUND(EN!G34+EN!H34+EN!I34,0)</f>
        <v>1</v>
      </c>
      <c r="G34" s="149" t="b">
        <f>+ROUND(EN!G34,0)=ROUND(EN!F34-EN!J34,0)</f>
        <v>1</v>
      </c>
      <c r="H34" s="153"/>
      <c r="I34" s="295"/>
      <c r="J34" s="234" t="b">
        <f>+EN!J34=EN!H34+EN!I34</f>
        <v>1</v>
      </c>
      <c r="S34" s="154"/>
      <c r="T34"/>
      <c r="U34"/>
      <c r="V34"/>
      <c r="W34"/>
      <c r="X34"/>
      <c r="Y34"/>
      <c r="Z34"/>
      <c r="AA34"/>
      <c r="AB34" s="122"/>
      <c r="AC34" s="122"/>
      <c r="AD34" s="122"/>
      <c r="AE34" s="122"/>
    </row>
    <row r="35" spans="1:34" ht="18" customHeight="1" x14ac:dyDescent="0.3">
      <c r="A35" s="120">
        <f t="shared" si="0"/>
        <v>30</v>
      </c>
      <c r="C35" s="151" t="str">
        <f>+IF($K$2="EN",Text!$B$40,Text!$C$40)</f>
        <v>South America</v>
      </c>
      <c r="D35" s="133"/>
      <c r="E35" s="133"/>
      <c r="F35" s="152" t="b">
        <f>+ROUND(EN!F35,0)=ROUND(EN!G35+EN!H35+EN!I35,0)</f>
        <v>1</v>
      </c>
      <c r="G35" s="149" t="b">
        <f>+ROUND(EN!G35,0)=ROUND(EN!F35-EN!J35,0)</f>
        <v>1</v>
      </c>
      <c r="H35" s="153"/>
      <c r="I35" s="295"/>
      <c r="J35" s="234" t="b">
        <f>+EN!J35=EN!H35+EN!I35</f>
        <v>1</v>
      </c>
      <c r="K35" s="324"/>
      <c r="S35" s="155"/>
      <c r="T35"/>
      <c r="U35"/>
      <c r="V35"/>
      <c r="W35"/>
      <c r="X35"/>
      <c r="Y35"/>
      <c r="Z35"/>
      <c r="AA35"/>
      <c r="AB35" s="122"/>
      <c r="AC35" s="122"/>
      <c r="AD35" s="122"/>
      <c r="AE35" s="122"/>
    </row>
    <row r="36" spans="1:34" ht="18" customHeight="1" x14ac:dyDescent="0.3">
      <c r="A36" s="120">
        <f t="shared" si="0"/>
        <v>31</v>
      </c>
      <c r="C36" s="151" t="str">
        <f>+IF($K$2="EN",Text!$B$46,Text!$C$46)</f>
        <v>APAC</v>
      </c>
      <c r="D36" s="133"/>
      <c r="E36" s="133"/>
      <c r="F36" s="152" t="b">
        <f>+ROUND(EN!F36,1)=ROUND(EN!G36+EN!H36+EN!I36,1)</f>
        <v>1</v>
      </c>
      <c r="G36" s="149" t="b">
        <f>+ROUND(EN!G36,2)=ROUND(EN!F36-EN!J36,2)</f>
        <v>1</v>
      </c>
      <c r="H36" s="153"/>
      <c r="I36" s="295"/>
      <c r="J36" s="234" t="b">
        <f>+EN!J36=EN!H36+EN!I36</f>
        <v>1</v>
      </c>
      <c r="S36" s="155"/>
      <c r="T36"/>
      <c r="U36"/>
      <c r="V36"/>
      <c r="W36"/>
      <c r="X36"/>
      <c r="Y36"/>
      <c r="Z36"/>
      <c r="AA36"/>
      <c r="AB36" s="122"/>
      <c r="AC36" s="122"/>
      <c r="AD36" s="122"/>
      <c r="AE36" s="122"/>
    </row>
    <row r="37" spans="1:34" ht="18" customHeight="1" x14ac:dyDescent="0.25">
      <c r="A37" s="120">
        <f t="shared" si="0"/>
        <v>32</v>
      </c>
      <c r="C37" s="157" t="s">
        <v>32</v>
      </c>
      <c r="D37" s="157"/>
      <c r="E37" s="157"/>
      <c r="F37" s="158" t="b">
        <f>+ROUND(EN!F37,0)=ROUND(EN!G37+EN!H37+EN!I37,0)</f>
        <v>1</v>
      </c>
      <c r="G37" s="160" t="b">
        <f>+ROUND(EN!G37,0)=ROUND(EN!F37-EN!J37,0)</f>
        <v>1</v>
      </c>
      <c r="H37" s="159"/>
      <c r="I37" s="159"/>
      <c r="J37" s="158" t="b">
        <f>+EN!J37=EN!H37+EN!I37</f>
        <v>1</v>
      </c>
      <c r="N37" s="571"/>
      <c r="O37" s="571"/>
      <c r="P37" s="124"/>
      <c r="S37" s="122"/>
      <c r="T37"/>
      <c r="U37"/>
      <c r="V37"/>
      <c r="W37"/>
      <c r="X37"/>
      <c r="Y37"/>
      <c r="Z37"/>
      <c r="AA37"/>
      <c r="AB37" s="122"/>
      <c r="AC37" s="122"/>
      <c r="AD37" s="122"/>
      <c r="AE37" s="122"/>
    </row>
    <row r="38" spans="1:34" ht="18" customHeight="1" x14ac:dyDescent="0.25">
      <c r="A38" s="120">
        <f t="shared" si="0"/>
        <v>33</v>
      </c>
      <c r="C38" s="138" t="str">
        <f>+IF($K$2="EN",Text!$B$21,Text!$C$21)</f>
        <v>Onshore Wind</v>
      </c>
      <c r="D38" s="164"/>
      <c r="E38" s="164"/>
      <c r="F38" s="165" t="b">
        <f>+ROUND(EN!F38,0)=ROUND(EN!G38+EN!H38+EN!I38,0)</f>
        <v>1</v>
      </c>
      <c r="G38" s="344" t="b">
        <f>+ROUND(EN!G38,1)=ROUND(EN!F38-EN!J38,1)</f>
        <v>1</v>
      </c>
      <c r="H38" s="344"/>
      <c r="I38" s="344"/>
      <c r="J38" s="165" t="b">
        <f>+ROUND(EN!J38,0)=ROUND(EN!H38+EN!I38,0)</f>
        <v>1</v>
      </c>
      <c r="N38" s="571"/>
      <c r="O38" s="571"/>
      <c r="P38" s="124"/>
      <c r="S38" s="122"/>
      <c r="T38"/>
      <c r="U38"/>
      <c r="V38"/>
      <c r="W38"/>
      <c r="X38"/>
      <c r="Y38"/>
      <c r="Z38"/>
      <c r="AA38"/>
      <c r="AB38"/>
      <c r="AC38"/>
      <c r="AD38"/>
      <c r="AE38"/>
      <c r="AF38"/>
    </row>
    <row r="39" spans="1:34" ht="18" customHeight="1" x14ac:dyDescent="0.25">
      <c r="A39" s="120">
        <f t="shared" si="0"/>
        <v>34</v>
      </c>
      <c r="C39" s="138" t="str">
        <f>+IF($K$2="EN",Text!$B$24,Text!$C$24)</f>
        <v>Solar Utility Scale</v>
      </c>
      <c r="D39" s="164"/>
      <c r="E39" s="164"/>
      <c r="F39" s="165" t="b">
        <f>+ROUND(EN!F39,0)=ROUND(EN!G39+EN!H39+EN!I39,0)</f>
        <v>0</v>
      </c>
      <c r="G39" s="344" t="b">
        <f>+ROUND(EN!G39,1)=ROUND(EN!F39-EN!J39,1)</f>
        <v>0</v>
      </c>
      <c r="H39" s="344"/>
      <c r="I39" s="344"/>
      <c r="J39" s="165" t="b">
        <f>+ROUND(EN!J39,0)=ROUND(EN!H39+EN!I39,0)</f>
        <v>1</v>
      </c>
      <c r="K39" s="322"/>
      <c r="N39" s="571"/>
      <c r="O39" s="571"/>
      <c r="S39" s="269"/>
      <c r="T39"/>
      <c r="U39"/>
      <c r="V39"/>
      <c r="W39"/>
      <c r="X39"/>
      <c r="Y39"/>
      <c r="Z39"/>
      <c r="AA39"/>
      <c r="AB39"/>
      <c r="AC39"/>
      <c r="AD39"/>
      <c r="AE39"/>
      <c r="AF39"/>
    </row>
    <row r="40" spans="1:34" ht="18" customHeight="1" x14ac:dyDescent="0.25">
      <c r="A40" s="120">
        <f t="shared" si="0"/>
        <v>35</v>
      </c>
      <c r="B40" s="156"/>
      <c r="C40" s="138" t="str">
        <f>+IF($K$2="EN",Text!$B$25,Text!$C$25)</f>
        <v>Solar DG</v>
      </c>
      <c r="D40" s="164"/>
      <c r="E40" s="164"/>
      <c r="F40" s="165" t="b">
        <f>+ROUND(EN!F40,0)=ROUND(EN!G40+EN!H40+EN!I40,0)</f>
        <v>0</v>
      </c>
      <c r="G40" s="344" t="b">
        <f>+ROUND(EN!G40,0)=ROUND(EN!F40-EN!J40,0)</f>
        <v>0</v>
      </c>
      <c r="H40" s="344"/>
      <c r="I40" s="344"/>
      <c r="J40" s="165" t="b">
        <f>+ROUND(EN!J40,0)=ROUND(EN!H40+EN!I40,0)</f>
        <v>1</v>
      </c>
      <c r="T40"/>
      <c r="U40"/>
      <c r="V40"/>
      <c r="W40"/>
      <c r="X40"/>
      <c r="Y40"/>
      <c r="Z40"/>
      <c r="AA40"/>
      <c r="AB40"/>
      <c r="AC40"/>
      <c r="AD40"/>
      <c r="AE40"/>
      <c r="AF40"/>
    </row>
    <row r="41" spans="1:34" ht="18" customHeight="1" x14ac:dyDescent="0.25">
      <c r="A41" s="120">
        <f t="shared" si="0"/>
        <v>36</v>
      </c>
      <c r="B41" s="156"/>
      <c r="C41" s="138" t="s">
        <v>25</v>
      </c>
      <c r="D41" s="143"/>
      <c r="E41" s="143"/>
      <c r="F41" s="165" t="b">
        <f>+ROUND(EN!F41,1)=ROUND(EN!G41+EN!H41+EN!I41,1)</f>
        <v>1</v>
      </c>
      <c r="G41" s="344" t="b">
        <f>+ROUND(EN!G41,1)=ROUND(EN!F41-EN!J41,1)</f>
        <v>1</v>
      </c>
      <c r="H41" s="344"/>
      <c r="I41" s="344"/>
      <c r="J41" s="165" t="b">
        <f>+ROUND(EN!J41,0)=ROUND(EN!H41+EN!I41,0)</f>
        <v>1</v>
      </c>
      <c r="K41" s="322"/>
      <c r="T41"/>
      <c r="U41"/>
      <c r="V41"/>
      <c r="W41"/>
      <c r="X41"/>
      <c r="Y41"/>
      <c r="Z41"/>
      <c r="AA41"/>
      <c r="AB41"/>
      <c r="AC41"/>
      <c r="AD41"/>
      <c r="AE41"/>
      <c r="AF41"/>
    </row>
    <row r="42" spans="1:34" ht="18" customHeight="1" x14ac:dyDescent="0.25">
      <c r="A42" s="120">
        <f t="shared" si="0"/>
        <v>37</v>
      </c>
      <c r="B42" s="156"/>
      <c r="C42" s="138" t="s">
        <v>189</v>
      </c>
      <c r="D42" s="143"/>
      <c r="E42" s="143"/>
      <c r="F42" s="165" t="b">
        <f>+ROUND(EN!F42,1)=ROUND(EN!G42+EN!H42+EN!I42,1)</f>
        <v>1</v>
      </c>
      <c r="G42" s="344" t="b">
        <f>+ROUND(EN!G42,1)=ROUND(EN!F42-EN!J42,1)</f>
        <v>1</v>
      </c>
      <c r="H42" s="344"/>
      <c r="I42" s="344"/>
      <c r="J42" s="165" t="b">
        <f>+ROUND(EN!J42,0)=ROUND(EN!H42+EN!I42,0)</f>
        <v>1</v>
      </c>
      <c r="T42"/>
      <c r="U42"/>
      <c r="V42"/>
      <c r="W42"/>
      <c r="X42"/>
      <c r="Y42"/>
      <c r="Z42"/>
      <c r="AA42"/>
      <c r="AB42"/>
      <c r="AC42"/>
      <c r="AD42"/>
      <c r="AE42"/>
      <c r="AF42"/>
    </row>
    <row r="43" spans="1:34" s="143" customFormat="1" ht="18" customHeight="1" x14ac:dyDescent="0.25">
      <c r="A43" s="120">
        <f t="shared" si="0"/>
        <v>38</v>
      </c>
      <c r="K43" s="121"/>
      <c r="L43" s="121"/>
      <c r="M43" s="121"/>
      <c r="N43" s="121"/>
      <c r="O43" s="121"/>
      <c r="P43" s="121"/>
      <c r="Q43" s="121"/>
      <c r="T43"/>
      <c r="U43"/>
      <c r="V43"/>
      <c r="W43"/>
      <c r="X43"/>
      <c r="Y43"/>
      <c r="Z43"/>
      <c r="AA43"/>
      <c r="AB43"/>
      <c r="AC43"/>
      <c r="AD43"/>
      <c r="AE43"/>
      <c r="AF43"/>
      <c r="AG43" s="121"/>
      <c r="AH43" s="121"/>
    </row>
    <row r="44" spans="1:34" s="143" customFormat="1" ht="18" customHeight="1" x14ac:dyDescent="0.25">
      <c r="A44" s="120">
        <f t="shared" si="0"/>
        <v>39</v>
      </c>
      <c r="C44" s="456"/>
      <c r="D44" s="456"/>
      <c r="E44" s="456"/>
      <c r="F44" s="456"/>
      <c r="G44" s="456"/>
      <c r="H44" s="456"/>
      <c r="I44" s="456"/>
      <c r="J44" s="456"/>
      <c r="K44" s="323"/>
      <c r="L44" s="121"/>
      <c r="M44" s="121"/>
      <c r="N44" s="121"/>
      <c r="O44" s="121"/>
      <c r="P44" s="121"/>
      <c r="Q44" s="121"/>
      <c r="T44"/>
      <c r="U44"/>
      <c r="V44"/>
      <c r="W44"/>
      <c r="X44"/>
      <c r="Y44"/>
      <c r="Z44"/>
      <c r="AA44"/>
      <c r="AB44"/>
      <c r="AC44"/>
      <c r="AD44"/>
      <c r="AE44"/>
      <c r="AF44"/>
      <c r="AG44" s="121"/>
      <c r="AH44" s="121"/>
    </row>
    <row r="45" spans="1:34" s="143" customFormat="1" ht="18" customHeight="1" x14ac:dyDescent="0.25">
      <c r="A45" s="120">
        <f t="shared" si="0"/>
        <v>40</v>
      </c>
      <c r="K45" s="121"/>
      <c r="L45" s="121"/>
      <c r="M45" s="121"/>
      <c r="N45" s="121"/>
      <c r="O45" s="121"/>
      <c r="P45" s="121"/>
      <c r="Q45" s="121"/>
      <c r="T45"/>
      <c r="U45"/>
      <c r="V45"/>
      <c r="W45"/>
      <c r="X45"/>
      <c r="Y45"/>
      <c r="Z45"/>
      <c r="AA45"/>
      <c r="AB45"/>
      <c r="AC45"/>
      <c r="AD45"/>
      <c r="AE45"/>
      <c r="AF45"/>
      <c r="AG45" s="121"/>
      <c r="AH45" s="121"/>
    </row>
    <row r="46" spans="1:34" s="143" customFormat="1" ht="18" customHeight="1" thickBot="1" x14ac:dyDescent="0.4">
      <c r="A46" s="120">
        <f t="shared" si="0"/>
        <v>41</v>
      </c>
      <c r="C46" s="144" t="s">
        <v>82</v>
      </c>
      <c r="D46" s="145"/>
      <c r="E46" s="145"/>
      <c r="F46" s="145"/>
      <c r="G46" s="145"/>
      <c r="H46" s="145"/>
      <c r="I46" s="615" t="s">
        <v>13</v>
      </c>
      <c r="J46" s="615"/>
      <c r="K46" s="121"/>
      <c r="L46" s="121"/>
      <c r="M46" s="121"/>
      <c r="N46" s="121"/>
      <c r="O46" s="121"/>
      <c r="P46" s="121"/>
      <c r="Q46" s="121"/>
      <c r="T46"/>
      <c r="U46"/>
      <c r="V46"/>
      <c r="W46"/>
      <c r="X46"/>
      <c r="Y46"/>
      <c r="Z46"/>
      <c r="AA46"/>
      <c r="AB46"/>
      <c r="AC46"/>
      <c r="AD46"/>
      <c r="AE46"/>
      <c r="AF46"/>
      <c r="AG46" s="121"/>
      <c r="AH46" s="121"/>
    </row>
    <row r="47" spans="1:34" s="143" customFormat="1" ht="18" customHeight="1" x14ac:dyDescent="0.25">
      <c r="A47" s="120">
        <f t="shared" si="0"/>
        <v>42</v>
      </c>
      <c r="K47" s="121"/>
      <c r="T47"/>
      <c r="U47"/>
      <c r="V47"/>
      <c r="W47"/>
      <c r="X47"/>
      <c r="Y47"/>
      <c r="Z47"/>
      <c r="AA47"/>
      <c r="AB47"/>
      <c r="AC47"/>
      <c r="AD47"/>
      <c r="AE47"/>
      <c r="AF47"/>
      <c r="AG47" s="121"/>
      <c r="AH47" s="121"/>
    </row>
    <row r="48" spans="1:34" s="143" customFormat="1" ht="18" customHeight="1" x14ac:dyDescent="0.25">
      <c r="A48" s="120">
        <f t="shared" si="0"/>
        <v>43</v>
      </c>
      <c r="C48" s="424" t="s">
        <v>35</v>
      </c>
      <c r="D48" s="418"/>
      <c r="E48" s="418"/>
      <c r="F48" s="418"/>
      <c r="G48" s="228">
        <f>+Cur_Period</f>
        <v>2025</v>
      </c>
      <c r="H48" s="228">
        <f>Pre_Period</f>
        <v>2024</v>
      </c>
      <c r="I48" s="425" t="s">
        <v>35</v>
      </c>
      <c r="J48" s="426" t="s">
        <v>12</v>
      </c>
      <c r="K48" s="121"/>
      <c r="L48" s="121"/>
      <c r="M48" s="121"/>
      <c r="N48" s="121"/>
      <c r="O48" s="121"/>
      <c r="P48" s="121"/>
      <c r="Q48" s="121"/>
      <c r="T48"/>
      <c r="U48"/>
      <c r="V48"/>
      <c r="W48"/>
      <c r="X48"/>
      <c r="Y48"/>
      <c r="Z48"/>
      <c r="AA48"/>
      <c r="AB48"/>
      <c r="AC48"/>
      <c r="AD48"/>
      <c r="AE48"/>
      <c r="AF48"/>
      <c r="AG48" s="121"/>
      <c r="AH48" s="121"/>
    </row>
    <row r="49" spans="1:34" s="143" customFormat="1" ht="18" customHeight="1" thickBot="1" x14ac:dyDescent="0.4">
      <c r="A49" s="120">
        <f t="shared" si="0"/>
        <v>44</v>
      </c>
      <c r="C49" s="427" t="s">
        <v>22</v>
      </c>
      <c r="D49" s="422"/>
      <c r="E49" s="422"/>
      <c r="F49" s="422"/>
      <c r="G49" s="377" t="b">
        <f>+EN!G49=SUM(EN!G53:G55)</f>
        <v>1</v>
      </c>
      <c r="H49" s="378" t="b">
        <f>+EN!H49=SUM(EN!H53:H55)</f>
        <v>1</v>
      </c>
      <c r="I49" s="398"/>
      <c r="J49" s="379"/>
      <c r="K49" s="121"/>
      <c r="M49" s="342"/>
      <c r="N49" s="342"/>
      <c r="O49" s="342" t="str">
        <f>+IF($K$2="EN",Text!$B$10,Text!$C$10)</f>
        <v>Generation by Region and Technology</v>
      </c>
      <c r="P49" s="342"/>
      <c r="Q49" s="342"/>
      <c r="T49"/>
      <c r="U49"/>
      <c r="V49"/>
      <c r="W49"/>
      <c r="X49"/>
      <c r="Y49"/>
      <c r="Z49"/>
      <c r="AA49"/>
      <c r="AB49" s="121"/>
      <c r="AC49" s="121"/>
      <c r="AD49" s="121"/>
      <c r="AE49" s="121"/>
      <c r="AF49" s="121"/>
      <c r="AG49" s="121"/>
      <c r="AH49" s="121"/>
    </row>
    <row r="50" spans="1:34" s="143" customFormat="1" ht="18" customHeight="1" x14ac:dyDescent="0.4">
      <c r="A50" s="120">
        <f t="shared" si="0"/>
        <v>45</v>
      </c>
      <c r="C50" s="455" t="s">
        <v>105</v>
      </c>
      <c r="D50" s="442"/>
      <c r="E50" s="442"/>
      <c r="F50" s="442"/>
      <c r="G50" s="382"/>
      <c r="H50" s="399"/>
      <c r="I50" s="400"/>
      <c r="J50" s="401"/>
      <c r="K50" s="121"/>
      <c r="L50" s="121"/>
      <c r="M50" s="121"/>
      <c r="N50" s="121"/>
      <c r="O50" s="121"/>
      <c r="P50" s="121"/>
      <c r="Q50" s="121"/>
      <c r="T50"/>
      <c r="U50"/>
      <c r="V50"/>
      <c r="W50"/>
      <c r="X50"/>
      <c r="Y50"/>
      <c r="Z50"/>
      <c r="AA50"/>
      <c r="AB50" s="121"/>
      <c r="AC50" s="121"/>
      <c r="AD50" s="121"/>
      <c r="AE50" s="121"/>
      <c r="AF50" s="121"/>
      <c r="AG50" s="121"/>
      <c r="AH50" s="121"/>
    </row>
    <row r="51" spans="1:34" s="143" customFormat="1" ht="18" customHeight="1" x14ac:dyDescent="0.4">
      <c r="A51" s="120">
        <f t="shared" si="0"/>
        <v>46</v>
      </c>
      <c r="C51" s="455" t="s">
        <v>107</v>
      </c>
      <c r="D51" s="442"/>
      <c r="E51" s="442"/>
      <c r="F51" s="442"/>
      <c r="G51" s="382"/>
      <c r="H51" s="399"/>
      <c r="I51" s="400"/>
      <c r="J51" s="401"/>
      <c r="K51" s="121"/>
      <c r="L51" s="121"/>
      <c r="M51" s="121"/>
      <c r="N51" s="121"/>
      <c r="O51" s="121"/>
      <c r="P51" s="121"/>
      <c r="Q51" s="121"/>
      <c r="T51"/>
      <c r="U51"/>
      <c r="V51"/>
      <c r="W51"/>
      <c r="X51"/>
      <c r="Y51"/>
      <c r="Z51"/>
      <c r="AA51"/>
      <c r="AB51" s="121"/>
      <c r="AC51" s="121"/>
      <c r="AD51" s="121"/>
      <c r="AE51" s="121"/>
      <c r="AF51" s="121"/>
      <c r="AG51" s="121"/>
      <c r="AH51" s="121"/>
    </row>
    <row r="52" spans="1:34" s="143" customFormat="1" ht="18" customHeight="1" x14ac:dyDescent="0.4">
      <c r="A52" s="120">
        <f t="shared" si="0"/>
        <v>47</v>
      </c>
      <c r="C52" s="455" t="s">
        <v>108</v>
      </c>
      <c r="D52" s="442"/>
      <c r="E52" s="442"/>
      <c r="F52" s="442"/>
      <c r="G52" s="382"/>
      <c r="H52" s="399"/>
      <c r="I52" s="400"/>
      <c r="J52" s="401"/>
      <c r="K52" s="121"/>
      <c r="L52" s="121"/>
      <c r="M52" s="121"/>
      <c r="N52" s="121"/>
      <c r="O52" s="121"/>
      <c r="P52" s="121"/>
      <c r="Q52" s="121"/>
      <c r="T52"/>
      <c r="U52"/>
      <c r="V52"/>
      <c r="W52"/>
      <c r="X52"/>
      <c r="Y52"/>
      <c r="Z52"/>
      <c r="AA52"/>
      <c r="AB52" s="121"/>
      <c r="AC52" s="121"/>
      <c r="AD52" s="121"/>
      <c r="AE52" s="121"/>
      <c r="AF52" s="121"/>
      <c r="AG52" s="121"/>
      <c r="AH52" s="121"/>
    </row>
    <row r="53" spans="1:34" s="143" customFormat="1" ht="18" customHeight="1" x14ac:dyDescent="0.25">
      <c r="A53" s="120">
        <f t="shared" si="0"/>
        <v>48</v>
      </c>
      <c r="C53" s="421" t="s">
        <v>15</v>
      </c>
      <c r="D53" s="422"/>
      <c r="E53" s="422"/>
      <c r="F53" s="422"/>
      <c r="G53" s="382" t="b">
        <f>+EN!G53=SUM(EN!G50:G52)</f>
        <v>1</v>
      </c>
      <c r="H53" s="399" t="b">
        <f>+EN!H53=SUM(EN!H50:H52)</f>
        <v>1</v>
      </c>
      <c r="I53" s="400"/>
      <c r="J53" s="401"/>
      <c r="K53" s="121"/>
      <c r="L53" s="121"/>
      <c r="P53" s="121"/>
      <c r="Q53" s="121"/>
      <c r="T53"/>
      <c r="U53"/>
      <c r="V53"/>
      <c r="W53"/>
      <c r="X53"/>
      <c r="Y53"/>
      <c r="Z53"/>
      <c r="AA53"/>
      <c r="AB53" s="121"/>
      <c r="AC53" s="121"/>
      <c r="AD53" s="121"/>
      <c r="AE53" s="121"/>
      <c r="AF53" s="121"/>
      <c r="AG53" s="121"/>
      <c r="AH53" s="121"/>
    </row>
    <row r="54" spans="1:34" s="143" customFormat="1" ht="18" customHeight="1" x14ac:dyDescent="0.25">
      <c r="A54" s="120">
        <f t="shared" si="0"/>
        <v>49</v>
      </c>
      <c r="C54" s="421" t="s">
        <v>16</v>
      </c>
      <c r="D54" s="422"/>
      <c r="E54" s="422"/>
      <c r="F54" s="422"/>
      <c r="G54" s="382"/>
      <c r="H54" s="399"/>
      <c r="I54" s="400"/>
      <c r="J54" s="401"/>
      <c r="K54" s="121"/>
      <c r="L54" s="121"/>
      <c r="N54" s="341"/>
      <c r="P54" s="121"/>
      <c r="Q54" s="121"/>
      <c r="T54"/>
      <c r="U54"/>
      <c r="V54"/>
      <c r="W54"/>
      <c r="X54"/>
      <c r="Y54"/>
      <c r="Z54"/>
      <c r="AA54"/>
      <c r="AB54" s="121"/>
      <c r="AC54" s="121"/>
      <c r="AD54" s="121"/>
      <c r="AE54" s="121"/>
      <c r="AF54" s="121"/>
      <c r="AG54" s="121"/>
      <c r="AH54" s="121"/>
    </row>
    <row r="55" spans="1:34" s="143" customFormat="1" ht="18" customHeight="1" x14ac:dyDescent="0.25">
      <c r="A55" s="120">
        <f t="shared" si="0"/>
        <v>50</v>
      </c>
      <c r="C55" s="421" t="s">
        <v>41</v>
      </c>
      <c r="D55" s="427"/>
      <c r="E55" s="427"/>
      <c r="F55" s="427"/>
      <c r="G55" s="382"/>
      <c r="H55" s="399"/>
      <c r="I55" s="400"/>
      <c r="J55" s="401"/>
      <c r="K55" s="121"/>
      <c r="M55" s="571"/>
      <c r="N55" s="571"/>
      <c r="O55" s="571"/>
      <c r="P55" s="121"/>
      <c r="Q55" s="121"/>
      <c r="T55"/>
      <c r="U55"/>
      <c r="V55"/>
      <c r="W55"/>
      <c r="X55"/>
      <c r="Y55"/>
      <c r="Z55"/>
      <c r="AA55"/>
      <c r="AB55" s="121"/>
      <c r="AC55" s="121"/>
      <c r="AD55" s="121"/>
      <c r="AE55" s="121"/>
      <c r="AF55" s="121"/>
      <c r="AG55" s="121"/>
      <c r="AH55" s="121"/>
    </row>
    <row r="56" spans="1:34" s="143" customFormat="1" ht="18" customHeight="1" x14ac:dyDescent="0.25">
      <c r="A56" s="120">
        <f t="shared" si="0"/>
        <v>51</v>
      </c>
      <c r="C56" s="427" t="s">
        <v>23</v>
      </c>
      <c r="D56" s="422"/>
      <c r="E56" s="422"/>
      <c r="F56" s="422"/>
      <c r="G56" s="377" t="b">
        <f>+EN!G56=SUM(EN!G57:G60)</f>
        <v>1</v>
      </c>
      <c r="H56" s="378" t="b">
        <f>+EN!H56=SUM(EN!H57:H60)</f>
        <v>1</v>
      </c>
      <c r="I56" s="398"/>
      <c r="J56" s="379"/>
      <c r="K56" s="121"/>
      <c r="M56" s="571"/>
      <c r="N56" s="571"/>
      <c r="O56" s="571"/>
      <c r="P56" s="124"/>
      <c r="T56"/>
      <c r="U56"/>
      <c r="V56"/>
      <c r="W56"/>
      <c r="X56"/>
      <c r="Y56"/>
      <c r="Z56"/>
      <c r="AA56"/>
      <c r="AB56" s="121"/>
    </row>
    <row r="57" spans="1:34" s="143" customFormat="1" ht="18" customHeight="1" x14ac:dyDescent="0.25">
      <c r="A57" s="120">
        <f t="shared" si="0"/>
        <v>52</v>
      </c>
      <c r="C57" s="421" t="s">
        <v>15</v>
      </c>
      <c r="D57" s="419"/>
      <c r="E57" s="419"/>
      <c r="F57" s="419"/>
      <c r="G57" s="382"/>
      <c r="H57" s="399"/>
      <c r="I57" s="400"/>
      <c r="J57" s="401"/>
      <c r="K57" s="121"/>
      <c r="P57" s="124"/>
      <c r="T57"/>
      <c r="U57"/>
      <c r="V57"/>
      <c r="W57"/>
      <c r="X57"/>
      <c r="Y57"/>
      <c r="Z57"/>
      <c r="AA57"/>
      <c r="AB57" s="121"/>
    </row>
    <row r="58" spans="1:34" s="143" customFormat="1" ht="18" customHeight="1" x14ac:dyDescent="0.25">
      <c r="A58" s="120">
        <f t="shared" si="0"/>
        <v>53</v>
      </c>
      <c r="C58" s="421" t="s">
        <v>16</v>
      </c>
      <c r="D58" s="429"/>
      <c r="E58" s="429"/>
      <c r="F58" s="429"/>
      <c r="G58" s="382"/>
      <c r="H58" s="399"/>
      <c r="I58" s="400"/>
      <c r="J58" s="401"/>
      <c r="K58" s="121"/>
      <c r="M58" s="121"/>
      <c r="P58" s="121"/>
      <c r="Q58" s="121"/>
      <c r="T58"/>
      <c r="U58"/>
      <c r="V58"/>
      <c r="W58"/>
      <c r="X58"/>
      <c r="Y58"/>
      <c r="Z58"/>
      <c r="AA58"/>
      <c r="AB58" s="121"/>
    </row>
    <row r="59" spans="1:34" s="143" customFormat="1" ht="18" customHeight="1" x14ac:dyDescent="0.25">
      <c r="A59" s="120">
        <f t="shared" si="0"/>
        <v>54</v>
      </c>
      <c r="C59" s="421" t="s">
        <v>41</v>
      </c>
      <c r="D59" s="427"/>
      <c r="E59" s="427"/>
      <c r="F59" s="427"/>
      <c r="G59" s="382"/>
      <c r="H59" s="399"/>
      <c r="I59" s="400"/>
      <c r="J59" s="401"/>
      <c r="K59" s="121"/>
      <c r="M59" s="121"/>
      <c r="N59" s="121"/>
      <c r="O59" s="121"/>
      <c r="P59" s="121"/>
      <c r="Q59" s="121"/>
      <c r="S59" s="267"/>
      <c r="T59"/>
      <c r="U59"/>
      <c r="V59"/>
      <c r="W59"/>
      <c r="X59"/>
      <c r="Y59"/>
      <c r="Z59"/>
      <c r="AA59"/>
      <c r="AB59" s="121"/>
    </row>
    <row r="60" spans="1:34" s="143" customFormat="1" ht="18" customHeight="1" x14ac:dyDescent="0.4">
      <c r="A60" s="120">
        <f t="shared" si="0"/>
        <v>55</v>
      </c>
      <c r="C60" s="421" t="s">
        <v>18</v>
      </c>
      <c r="D60" s="442"/>
      <c r="E60" s="442"/>
      <c r="F60" s="442"/>
      <c r="G60" s="382"/>
      <c r="H60" s="399"/>
      <c r="I60" s="400"/>
      <c r="J60" s="401"/>
      <c r="K60" s="121"/>
      <c r="M60" s="121"/>
      <c r="N60" s="121"/>
      <c r="O60" s="121"/>
      <c r="P60" s="121"/>
      <c r="Q60" s="121"/>
      <c r="T60"/>
      <c r="U60"/>
      <c r="V60"/>
      <c r="W60"/>
      <c r="X60"/>
      <c r="Y60"/>
      <c r="Z60"/>
      <c r="AA60"/>
    </row>
    <row r="61" spans="1:34" s="143" customFormat="1" ht="18" customHeight="1" x14ac:dyDescent="0.4">
      <c r="A61" s="120">
        <f t="shared" si="0"/>
        <v>56</v>
      </c>
      <c r="C61" s="427" t="s">
        <v>24</v>
      </c>
      <c r="D61" s="442"/>
      <c r="E61" s="442"/>
      <c r="F61" s="442"/>
      <c r="G61" s="377" t="b">
        <f>+ROUND(EN!G61,2)=ROUND(SUM(EN!G62:G63),2)</f>
        <v>1</v>
      </c>
      <c r="H61" s="378" t="b">
        <f>+ROUND(EN!H61,2)=ROUND(SUM(EN!H62:H63),2)</f>
        <v>1</v>
      </c>
      <c r="I61" s="398"/>
      <c r="J61" s="379"/>
      <c r="K61" s="121"/>
      <c r="L61" s="121"/>
      <c r="M61" s="121"/>
      <c r="N61" s="121"/>
      <c r="O61" s="121"/>
      <c r="P61" s="121"/>
      <c r="Q61" s="121"/>
      <c r="T61"/>
      <c r="U61"/>
      <c r="V61"/>
      <c r="W61"/>
      <c r="X61"/>
      <c r="Y61"/>
      <c r="Z61"/>
      <c r="AA61"/>
    </row>
    <row r="62" spans="1:34" s="143" customFormat="1" ht="18" customHeight="1" x14ac:dyDescent="0.4">
      <c r="A62" s="120">
        <f t="shared" si="0"/>
        <v>57</v>
      </c>
      <c r="C62" s="421" t="s">
        <v>16</v>
      </c>
      <c r="D62" s="442"/>
      <c r="E62" s="442"/>
      <c r="F62" s="442"/>
      <c r="G62" s="382"/>
      <c r="H62" s="399"/>
      <c r="I62" s="400"/>
      <c r="J62" s="401"/>
      <c r="K62" s="121"/>
      <c r="L62" s="121"/>
      <c r="M62" s="121"/>
      <c r="N62" s="121"/>
      <c r="O62" s="121"/>
      <c r="P62" s="121"/>
      <c r="Q62" s="121"/>
      <c r="T62"/>
      <c r="U62"/>
      <c r="V62"/>
      <c r="W62"/>
      <c r="X62"/>
      <c r="Y62"/>
      <c r="Z62"/>
      <c r="AA62"/>
    </row>
    <row r="63" spans="1:34" s="143" customFormat="1" ht="18" customHeight="1" x14ac:dyDescent="0.25">
      <c r="A63" s="120">
        <f t="shared" si="0"/>
        <v>58</v>
      </c>
      <c r="C63" s="380" t="s">
        <v>18</v>
      </c>
      <c r="D63" s="443"/>
      <c r="E63" s="443"/>
      <c r="F63" s="443"/>
      <c r="G63" s="383"/>
      <c r="H63" s="453"/>
      <c r="I63" s="454"/>
      <c r="J63" s="432"/>
      <c r="K63" s="121"/>
      <c r="L63" s="121"/>
      <c r="M63" s="121"/>
      <c r="N63" s="121"/>
      <c r="O63" s="121"/>
      <c r="P63" s="121"/>
      <c r="Q63" s="121"/>
      <c r="T63"/>
      <c r="U63"/>
      <c r="V63"/>
      <c r="W63"/>
      <c r="X63"/>
      <c r="Y63"/>
      <c r="Z63"/>
      <c r="AA63"/>
    </row>
    <row r="64" spans="1:34" s="143" customFormat="1" ht="18" customHeight="1" x14ac:dyDescent="0.25">
      <c r="A64" s="120">
        <f t="shared" si="0"/>
        <v>59</v>
      </c>
      <c r="C64" s="417" t="s">
        <v>32</v>
      </c>
      <c r="D64" s="417"/>
      <c r="E64" s="417"/>
      <c r="F64" s="417"/>
      <c r="G64" s="416" t="b">
        <f>+EN!G64=SUM(EN!G49,EN!G56,EN!G61)</f>
        <v>1</v>
      </c>
      <c r="H64" s="433" t="b">
        <f>+ROUND(EN!H64,2)=ROUND(SUM(EN!H49,EN!H56,EN!H61),2)</f>
        <v>1</v>
      </c>
      <c r="I64" s="434"/>
      <c r="J64" s="435"/>
      <c r="K64" s="121"/>
      <c r="L64" s="121"/>
      <c r="M64" s="121"/>
      <c r="N64" s="121"/>
      <c r="O64" s="121"/>
      <c r="P64" s="121"/>
      <c r="Q64" s="121"/>
      <c r="T64"/>
      <c r="U64"/>
      <c r="V64"/>
      <c r="W64"/>
      <c r="X64"/>
      <c r="Y64"/>
      <c r="Z64"/>
      <c r="AA64"/>
    </row>
    <row r="65" spans="1:30" s="143" customFormat="1" ht="18" customHeight="1" x14ac:dyDescent="0.25">
      <c r="A65" s="120">
        <f t="shared" si="0"/>
        <v>60</v>
      </c>
      <c r="C65" s="421" t="s">
        <v>15</v>
      </c>
      <c r="D65" s="422"/>
      <c r="E65" s="422"/>
      <c r="F65" s="422"/>
      <c r="G65" s="382" t="b">
        <f>+EN!G65=SUM(EN!G53,EN!G57)</f>
        <v>1</v>
      </c>
      <c r="H65" s="399" t="b">
        <f>+ROUND(EN!H65,2)=ROUND(SUM(EN!H53,EN!H57),2)</f>
        <v>1</v>
      </c>
      <c r="I65" s="400"/>
      <c r="J65" s="401"/>
      <c r="K65" s="121"/>
      <c r="T65"/>
      <c r="U65"/>
      <c r="V65"/>
      <c r="W65"/>
      <c r="X65"/>
      <c r="Y65"/>
      <c r="Z65"/>
      <c r="AA65"/>
    </row>
    <row r="66" spans="1:30" s="143" customFormat="1" ht="18" customHeight="1" x14ac:dyDescent="0.4">
      <c r="A66" s="120">
        <f t="shared" si="0"/>
        <v>61</v>
      </c>
      <c r="C66" s="421" t="s">
        <v>16</v>
      </c>
      <c r="D66" s="422"/>
      <c r="E66" s="442"/>
      <c r="F66" s="442"/>
      <c r="G66" s="382" t="b">
        <f>+EN!G66=SUM(EN!G54,EN!G58,EN!G62)</f>
        <v>1</v>
      </c>
      <c r="H66" s="399" t="b">
        <f>+EN!H66=SUM(EN!H54,EN!H58,EN!H62)</f>
        <v>1</v>
      </c>
      <c r="I66" s="400"/>
      <c r="J66" s="401"/>
      <c r="K66" s="121"/>
      <c r="T66"/>
      <c r="U66"/>
      <c r="V66"/>
      <c r="W66"/>
      <c r="X66"/>
      <c r="Y66"/>
      <c r="Z66"/>
      <c r="AA66"/>
    </row>
    <row r="67" spans="1:30" s="143" customFormat="1" ht="18" customHeight="1" thickBot="1" x14ac:dyDescent="0.45">
      <c r="A67" s="120">
        <f t="shared" si="0"/>
        <v>62</v>
      </c>
      <c r="C67" s="421" t="s">
        <v>41</v>
      </c>
      <c r="D67" s="422"/>
      <c r="E67" s="442"/>
      <c r="F67" s="442"/>
      <c r="G67" s="382" t="b">
        <f>+EN!G67=SUM(EN!G55,EN!G59)</f>
        <v>1</v>
      </c>
      <c r="H67" s="399" t="b">
        <f>+EN!H67=SUM(EN!H55,EN!H59)</f>
        <v>1</v>
      </c>
      <c r="I67" s="400"/>
      <c r="J67" s="401"/>
      <c r="K67" s="121"/>
      <c r="L67" s="618">
        <f>C69</f>
        <v>0</v>
      </c>
      <c r="M67" s="618"/>
      <c r="N67" s="619"/>
      <c r="O67" s="620" t="str">
        <f>+IF($K$2="EN",Text!$B$12,Text!$C$12)</f>
        <v>vs. P50 GCF (%)</v>
      </c>
      <c r="P67" s="618"/>
      <c r="Q67" s="618"/>
      <c r="T67"/>
      <c r="U67"/>
      <c r="V67"/>
      <c r="W67"/>
      <c r="X67"/>
      <c r="Y67"/>
      <c r="Z67"/>
      <c r="AA67"/>
      <c r="AB67" s="122"/>
      <c r="AC67" s="122"/>
      <c r="AD67" s="122"/>
    </row>
    <row r="68" spans="1:30" s="143" customFormat="1" ht="18" customHeight="1" x14ac:dyDescent="0.4">
      <c r="A68" s="120">
        <f t="shared" si="0"/>
        <v>63</v>
      </c>
      <c r="C68" s="421" t="s">
        <v>18</v>
      </c>
      <c r="D68" s="419"/>
      <c r="E68" s="442"/>
      <c r="F68" s="442"/>
      <c r="G68" s="382" t="b">
        <f>+EN!G68=SUM(EN!G60,EN!G63)</f>
        <v>1</v>
      </c>
      <c r="H68" s="399" t="b">
        <f>+EN!H68=SUM(EN!H60,EN!H63)</f>
        <v>1</v>
      </c>
      <c r="I68" s="400"/>
      <c r="J68" s="401"/>
      <c r="K68" s="121"/>
      <c r="L68" s="121"/>
      <c r="M68" s="121"/>
      <c r="N68" s="121"/>
      <c r="O68" s="121"/>
      <c r="P68" s="121"/>
      <c r="Q68" s="121"/>
      <c r="T68"/>
      <c r="U68"/>
      <c r="V68"/>
      <c r="W68"/>
      <c r="X68"/>
      <c r="Y68"/>
      <c r="Z68"/>
      <c r="AA68"/>
      <c r="AB68" s="122"/>
      <c r="AC68" s="122"/>
      <c r="AD68" s="122"/>
    </row>
    <row r="69" spans="1:30" ht="18" customHeight="1" x14ac:dyDescent="0.25">
      <c r="A69" s="120">
        <f t="shared" si="0"/>
        <v>64</v>
      </c>
      <c r="B69" s="156"/>
      <c r="L69" s="172"/>
      <c r="T69"/>
      <c r="U69"/>
      <c r="V69"/>
      <c r="W69"/>
      <c r="X69"/>
      <c r="Y69"/>
      <c r="Z69"/>
      <c r="AA69"/>
      <c r="AB69" s="122"/>
      <c r="AC69" s="122"/>
      <c r="AD69" s="122"/>
    </row>
    <row r="70" spans="1:30" ht="18" customHeight="1" x14ac:dyDescent="0.25">
      <c r="A70" s="120">
        <f t="shared" si="0"/>
        <v>65</v>
      </c>
      <c r="B70" s="156"/>
      <c r="L70" s="143"/>
      <c r="M70" s="143"/>
      <c r="N70" s="143"/>
      <c r="O70" s="143"/>
      <c r="P70" s="143"/>
      <c r="Q70" s="143"/>
      <c r="T70"/>
      <c r="U70"/>
      <c r="V70"/>
      <c r="W70"/>
      <c r="X70"/>
      <c r="Y70"/>
      <c r="Z70"/>
      <c r="AA70"/>
      <c r="AB70" s="122"/>
      <c r="AC70" s="122"/>
      <c r="AD70" s="122"/>
    </row>
    <row r="71" spans="1:30" ht="18" customHeight="1" x14ac:dyDescent="0.25">
      <c r="A71" s="120">
        <f t="shared" ref="A71:A96" si="1">A70+1</f>
        <v>66</v>
      </c>
      <c r="B71" s="156"/>
      <c r="L71" s="172" t="str">
        <f>+IF($K$2="EN",Text!$B$27,Text!$C$27)</f>
        <v>Europe</v>
      </c>
      <c r="T71"/>
      <c r="U71"/>
      <c r="V71"/>
      <c r="W71"/>
      <c r="X71"/>
      <c r="Y71"/>
      <c r="Z71"/>
      <c r="AA71"/>
      <c r="AB71" s="122"/>
      <c r="AC71" s="122"/>
      <c r="AD71" s="122"/>
    </row>
    <row r="72" spans="1:30" ht="18" customHeight="1" thickBot="1" x14ac:dyDescent="0.4">
      <c r="A72" s="120">
        <f t="shared" si="1"/>
        <v>67</v>
      </c>
      <c r="B72" s="156"/>
      <c r="C72" s="144" t="s">
        <v>28</v>
      </c>
      <c r="D72" s="145"/>
      <c r="E72" s="145"/>
      <c r="F72" s="145"/>
      <c r="G72" s="145"/>
      <c r="H72" s="145"/>
      <c r="I72" s="145"/>
      <c r="J72" s="145"/>
      <c r="T72"/>
      <c r="U72"/>
      <c r="V72"/>
      <c r="W72"/>
      <c r="X72"/>
      <c r="Y72"/>
      <c r="Z72"/>
      <c r="AA72"/>
      <c r="AB72" s="122"/>
      <c r="AC72" s="122"/>
      <c r="AD72" s="122"/>
    </row>
    <row r="73" spans="1:30" ht="18" customHeight="1" x14ac:dyDescent="0.25">
      <c r="A73" s="120">
        <f t="shared" si="1"/>
        <v>68</v>
      </c>
      <c r="B73" s="156"/>
      <c r="C73" s="143"/>
      <c r="D73" s="143"/>
      <c r="E73" s="143"/>
      <c r="F73" s="143"/>
      <c r="G73" s="143"/>
      <c r="H73" s="143"/>
      <c r="I73" s="143"/>
      <c r="J73" s="143"/>
      <c r="T73"/>
      <c r="U73"/>
      <c r="V73"/>
      <c r="W73"/>
      <c r="X73"/>
      <c r="Y73"/>
      <c r="Z73"/>
      <c r="AA73"/>
      <c r="AB73" s="122"/>
      <c r="AC73" s="122"/>
      <c r="AD73" s="122"/>
    </row>
    <row r="74" spans="1:30" ht="18" customHeight="1" x14ac:dyDescent="0.25">
      <c r="A74" s="120">
        <f t="shared" si="1"/>
        <v>69</v>
      </c>
      <c r="B74" s="156"/>
      <c r="C74" s="424" t="s">
        <v>42</v>
      </c>
      <c r="D74" s="418"/>
      <c r="E74" s="418"/>
      <c r="F74" s="418"/>
      <c r="G74" s="418"/>
      <c r="H74" s="228">
        <f>+Cur_Period</f>
        <v>2025</v>
      </c>
      <c r="I74" s="228">
        <f>Pre_Period</f>
        <v>2024</v>
      </c>
      <c r="J74" s="426" t="s">
        <v>13</v>
      </c>
      <c r="T74"/>
      <c r="U74"/>
      <c r="V74"/>
      <c r="W74"/>
      <c r="X74"/>
      <c r="Y74"/>
      <c r="Z74"/>
      <c r="AA74"/>
      <c r="AB74" s="122"/>
      <c r="AC74" s="122"/>
      <c r="AD74" s="122"/>
    </row>
    <row r="75" spans="1:30" ht="18" customHeight="1" x14ac:dyDescent="0.25">
      <c r="A75" s="120">
        <f t="shared" si="1"/>
        <v>70</v>
      </c>
      <c r="B75" s="156"/>
      <c r="C75" s="427" t="s">
        <v>22</v>
      </c>
      <c r="D75" s="422"/>
      <c r="E75" s="422"/>
      <c r="F75" s="422"/>
      <c r="G75" s="422"/>
      <c r="H75" s="387"/>
      <c r="I75" s="388"/>
      <c r="J75" s="389"/>
      <c r="L75" s="172" t="str">
        <f>+IF($K$2="EN",Text!$B$51,Text!$C$51)</f>
        <v>N. America</v>
      </c>
      <c r="T75"/>
      <c r="U75"/>
      <c r="V75"/>
      <c r="W75"/>
      <c r="X75"/>
      <c r="Y75"/>
      <c r="Z75"/>
      <c r="AA75"/>
      <c r="AB75" s="122"/>
      <c r="AC75" s="122"/>
      <c r="AD75" s="122"/>
    </row>
    <row r="76" spans="1:30" ht="18" customHeight="1" x14ac:dyDescent="0.25">
      <c r="A76" s="120">
        <f t="shared" si="1"/>
        <v>71</v>
      </c>
      <c r="B76" s="156"/>
      <c r="C76" s="455" t="s">
        <v>105</v>
      </c>
      <c r="D76" s="422"/>
      <c r="E76" s="422"/>
      <c r="F76" s="422"/>
      <c r="G76" s="422"/>
      <c r="H76" s="384"/>
      <c r="I76" s="385"/>
      <c r="J76" s="386"/>
      <c r="T76"/>
      <c r="U76"/>
      <c r="V76"/>
      <c r="W76"/>
      <c r="X76"/>
      <c r="Y76"/>
      <c r="Z76"/>
      <c r="AA76"/>
      <c r="AB76" s="122"/>
      <c r="AC76" s="122"/>
      <c r="AD76" s="122"/>
    </row>
    <row r="77" spans="1:30" ht="18" customHeight="1" x14ac:dyDescent="0.25">
      <c r="A77" s="120">
        <f t="shared" si="1"/>
        <v>72</v>
      </c>
      <c r="B77" s="156"/>
      <c r="C77" s="455" t="s">
        <v>107</v>
      </c>
      <c r="D77" s="422"/>
      <c r="E77" s="422"/>
      <c r="F77" s="422"/>
      <c r="G77" s="422"/>
      <c r="H77" s="384"/>
      <c r="I77" s="385"/>
      <c r="J77" s="386"/>
      <c r="S77" s="269"/>
      <c r="T77"/>
      <c r="U77"/>
      <c r="V77"/>
      <c r="W77"/>
      <c r="X77"/>
      <c r="Y77"/>
      <c r="Z77"/>
      <c r="AA77"/>
      <c r="AB77" s="122"/>
      <c r="AC77" s="122"/>
      <c r="AD77" s="122"/>
    </row>
    <row r="78" spans="1:30" ht="18" customHeight="1" x14ac:dyDescent="0.25">
      <c r="A78" s="120">
        <f t="shared" si="1"/>
        <v>73</v>
      </c>
      <c r="C78" s="455" t="s">
        <v>108</v>
      </c>
      <c r="D78" s="427"/>
      <c r="E78" s="427"/>
      <c r="F78" s="427"/>
      <c r="G78" s="427"/>
      <c r="H78" s="384"/>
      <c r="I78" s="385"/>
      <c r="J78" s="386"/>
      <c r="T78"/>
      <c r="U78"/>
      <c r="V78"/>
      <c r="W78"/>
      <c r="X78"/>
      <c r="Y78"/>
      <c r="Z78"/>
      <c r="AA78"/>
      <c r="AB78" s="122"/>
      <c r="AC78" s="122"/>
      <c r="AD78" s="122"/>
    </row>
    <row r="79" spans="1:30" ht="18" customHeight="1" x14ac:dyDescent="0.25">
      <c r="A79" s="120">
        <f t="shared" si="1"/>
        <v>74</v>
      </c>
      <c r="B79" s="156"/>
      <c r="C79" s="421" t="s">
        <v>15</v>
      </c>
      <c r="D79" s="422"/>
      <c r="E79" s="422"/>
      <c r="F79" s="422"/>
      <c r="G79" s="422"/>
      <c r="H79" s="384"/>
      <c r="I79" s="385"/>
      <c r="J79" s="386"/>
      <c r="L79" s="172" t="str">
        <f>+IF(Checks!$K$2="EN",Text!$B$52,Text!$C$52)</f>
        <v>S. America</v>
      </c>
      <c r="T79"/>
      <c r="U79"/>
      <c r="V79"/>
      <c r="W79"/>
      <c r="X79"/>
      <c r="Y79"/>
      <c r="Z79"/>
      <c r="AA79"/>
      <c r="AB79" s="122"/>
      <c r="AC79" s="122"/>
      <c r="AD79" s="122"/>
    </row>
    <row r="80" spans="1:30" ht="18" customHeight="1" x14ac:dyDescent="0.25">
      <c r="A80" s="120">
        <f t="shared" si="1"/>
        <v>75</v>
      </c>
      <c r="B80" s="156"/>
      <c r="C80" s="421" t="s">
        <v>16</v>
      </c>
      <c r="D80" s="422"/>
      <c r="E80" s="422"/>
      <c r="F80" s="422"/>
      <c r="G80" s="422"/>
      <c r="H80" s="384"/>
      <c r="I80" s="385"/>
      <c r="J80" s="386"/>
      <c r="S80" s="122"/>
      <c r="T80"/>
      <c r="U80"/>
      <c r="V80"/>
      <c r="W80"/>
      <c r="X80"/>
      <c r="Y80"/>
      <c r="Z80"/>
      <c r="AA80"/>
      <c r="AB80" s="122"/>
      <c r="AC80" s="122"/>
      <c r="AD80" s="122"/>
    </row>
    <row r="81" spans="1:34" ht="18" customHeight="1" x14ac:dyDescent="0.25">
      <c r="A81" s="120">
        <f t="shared" si="1"/>
        <v>76</v>
      </c>
      <c r="B81" s="156"/>
      <c r="C81" s="421" t="s">
        <v>41</v>
      </c>
      <c r="D81" s="429"/>
      <c r="E81" s="429"/>
      <c r="F81" s="429"/>
      <c r="G81" s="429"/>
      <c r="H81" s="384"/>
      <c r="I81" s="385"/>
      <c r="J81" s="386"/>
      <c r="S81" s="122"/>
      <c r="T81"/>
      <c r="U81"/>
      <c r="V81"/>
      <c r="W81"/>
      <c r="X81"/>
      <c r="Y81"/>
      <c r="Z81"/>
      <c r="AA81"/>
      <c r="AB81" s="122"/>
      <c r="AC81" s="122"/>
      <c r="AD81" s="122"/>
    </row>
    <row r="82" spans="1:34" ht="18" customHeight="1" x14ac:dyDescent="0.25">
      <c r="A82" s="120">
        <f t="shared" si="1"/>
        <v>77</v>
      </c>
      <c r="B82" s="156"/>
      <c r="C82" s="427" t="s">
        <v>23</v>
      </c>
      <c r="D82" s="419"/>
      <c r="E82" s="419"/>
      <c r="F82" s="419"/>
      <c r="G82" s="419"/>
      <c r="H82" s="404"/>
      <c r="I82" s="451"/>
      <c r="J82" s="389"/>
      <c r="S82" s="122"/>
      <c r="T82"/>
      <c r="U82"/>
      <c r="V82"/>
      <c r="W82"/>
      <c r="X82"/>
      <c r="Y82"/>
      <c r="Z82"/>
      <c r="AA82"/>
      <c r="AB82" s="122"/>
      <c r="AC82" s="122"/>
      <c r="AD82" s="122"/>
    </row>
    <row r="83" spans="1:34" ht="18" customHeight="1" x14ac:dyDescent="0.25">
      <c r="A83" s="120">
        <f t="shared" si="1"/>
        <v>78</v>
      </c>
      <c r="B83" s="156"/>
      <c r="C83" s="437" t="s">
        <v>24</v>
      </c>
      <c r="D83" s="417"/>
      <c r="E83" s="417"/>
      <c r="F83" s="417"/>
      <c r="G83" s="417"/>
      <c r="H83" s="405"/>
      <c r="I83" s="452"/>
      <c r="J83" s="406"/>
      <c r="L83" s="172" t="s">
        <v>32</v>
      </c>
      <c r="T83"/>
      <c r="U83"/>
      <c r="V83"/>
      <c r="W83"/>
      <c r="X83"/>
      <c r="Y83"/>
      <c r="Z83"/>
      <c r="AA83"/>
      <c r="AB83" s="122"/>
      <c r="AC83" s="122"/>
      <c r="AD83" s="122"/>
    </row>
    <row r="84" spans="1:34" ht="18" customHeight="1" x14ac:dyDescent="0.25">
      <c r="A84" s="120">
        <f t="shared" si="1"/>
        <v>79</v>
      </c>
      <c r="C84" s="417" t="s">
        <v>32</v>
      </c>
      <c r="D84" s="417"/>
      <c r="E84" s="417"/>
      <c r="F84" s="417"/>
      <c r="G84" s="417"/>
      <c r="H84" s="407"/>
      <c r="I84" s="408"/>
      <c r="J84" s="409"/>
      <c r="T84"/>
      <c r="U84"/>
      <c r="V84"/>
      <c r="W84"/>
      <c r="X84"/>
      <c r="Y84"/>
      <c r="Z84"/>
      <c r="AA84"/>
      <c r="AB84" s="122"/>
      <c r="AC84" s="122"/>
      <c r="AD84" s="122"/>
    </row>
    <row r="85" spans="1:34" s="143" customFormat="1" ht="18" customHeight="1" x14ac:dyDescent="0.25">
      <c r="A85" s="120">
        <f t="shared" si="1"/>
        <v>80</v>
      </c>
      <c r="C85" s="421" t="s">
        <v>15</v>
      </c>
      <c r="D85" s="422"/>
      <c r="E85" s="422"/>
      <c r="F85" s="422"/>
      <c r="G85" s="422"/>
      <c r="H85" s="438"/>
      <c r="I85" s="441"/>
      <c r="J85" s="440"/>
      <c r="K85" s="121"/>
      <c r="L85" s="121"/>
      <c r="M85" s="121"/>
      <c r="N85" s="121"/>
      <c r="O85" s="121"/>
      <c r="P85" s="121"/>
      <c r="Q85" s="121"/>
      <c r="T85"/>
      <c r="U85"/>
      <c r="V85"/>
      <c r="W85"/>
      <c r="X85"/>
      <c r="Y85"/>
      <c r="Z85"/>
      <c r="AA85"/>
      <c r="AB85"/>
      <c r="AC85"/>
      <c r="AD85"/>
      <c r="AE85"/>
      <c r="AF85"/>
      <c r="AG85" s="121"/>
      <c r="AH85" s="121"/>
    </row>
    <row r="86" spans="1:34" ht="18" customHeight="1" x14ac:dyDescent="0.25">
      <c r="A86" s="120">
        <f t="shared" si="1"/>
        <v>81</v>
      </c>
      <c r="C86" s="421" t="s">
        <v>16</v>
      </c>
      <c r="D86" s="422"/>
      <c r="E86" s="422"/>
      <c r="F86" s="422"/>
      <c r="G86" s="422"/>
      <c r="H86" s="438"/>
      <c r="I86" s="441"/>
      <c r="J86" s="440"/>
      <c r="T86"/>
      <c r="U86"/>
      <c r="V86"/>
      <c r="W86"/>
      <c r="X86"/>
      <c r="Y86"/>
      <c r="Z86"/>
      <c r="AA86"/>
      <c r="AB86" s="122"/>
      <c r="AC86" s="122"/>
      <c r="AD86" s="122"/>
    </row>
    <row r="87" spans="1:34" ht="18" customHeight="1" thickBot="1" x14ac:dyDescent="0.4">
      <c r="A87" s="120">
        <f t="shared" si="1"/>
        <v>82</v>
      </c>
      <c r="C87" s="421" t="s">
        <v>41</v>
      </c>
      <c r="D87" s="422"/>
      <c r="E87" s="422"/>
      <c r="F87" s="422"/>
      <c r="G87" s="422"/>
      <c r="H87" s="438"/>
      <c r="I87" s="441"/>
      <c r="J87" s="440"/>
      <c r="L87" s="144" t="str">
        <f>+IF($K$2="EN",Text!$B$13,Text!$C$13)</f>
        <v>Renewables Index (vs. P50 Gross Capacity Factor)</v>
      </c>
      <c r="M87" s="145"/>
      <c r="N87" s="145"/>
      <c r="O87" s="145"/>
      <c r="P87" s="145"/>
      <c r="Q87" s="145"/>
      <c r="T87"/>
      <c r="U87"/>
      <c r="V87"/>
      <c r="W87"/>
      <c r="X87"/>
      <c r="Y87"/>
      <c r="Z87"/>
      <c r="AA87"/>
      <c r="AB87" s="122"/>
      <c r="AC87" s="122"/>
      <c r="AD87" s="122"/>
    </row>
    <row r="88" spans="1:34" ht="18" customHeight="1" x14ac:dyDescent="0.25">
      <c r="A88" s="120">
        <f t="shared" si="1"/>
        <v>83</v>
      </c>
      <c r="C88" s="421" t="s">
        <v>18</v>
      </c>
      <c r="D88" s="419"/>
      <c r="E88" s="419"/>
      <c r="F88" s="419"/>
      <c r="G88" s="419"/>
      <c r="H88" s="438"/>
      <c r="I88" s="441"/>
      <c r="J88" s="440"/>
      <c r="T88"/>
      <c r="U88"/>
      <c r="V88"/>
      <c r="W88"/>
      <c r="X88"/>
      <c r="Y88"/>
      <c r="Z88"/>
      <c r="AA88"/>
    </row>
    <row r="89" spans="1:34" ht="18" customHeight="1" x14ac:dyDescent="0.25">
      <c r="A89" s="120">
        <f t="shared" si="1"/>
        <v>84</v>
      </c>
      <c r="L89" s="161" t="s">
        <v>45</v>
      </c>
      <c r="M89" s="148"/>
      <c r="N89" s="148"/>
      <c r="O89" s="162">
        <f>+Cur_Period</f>
        <v>2025</v>
      </c>
      <c r="P89" s="162">
        <f>+Pre_Period</f>
        <v>2024</v>
      </c>
      <c r="Q89" s="163" t="s">
        <v>13</v>
      </c>
      <c r="T89"/>
      <c r="U89"/>
      <c r="V89"/>
      <c r="W89"/>
      <c r="X89"/>
      <c r="Y89"/>
      <c r="Z89"/>
      <c r="AA89"/>
    </row>
    <row r="90" spans="1:34" ht="18" customHeight="1" x14ac:dyDescent="0.25">
      <c r="A90" s="120">
        <f t="shared" si="1"/>
        <v>85</v>
      </c>
      <c r="C90" s="143"/>
      <c r="D90" s="143"/>
      <c r="E90" s="143"/>
      <c r="F90" s="143"/>
      <c r="G90" s="143"/>
      <c r="H90" s="143"/>
      <c r="I90" s="143"/>
      <c r="J90" s="143"/>
      <c r="L90" s="147" t="str">
        <f>C37</f>
        <v>EDPR</v>
      </c>
      <c r="M90" s="147"/>
      <c r="N90" s="147"/>
      <c r="O90" s="339"/>
      <c r="P90" s="340"/>
      <c r="Q90" s="336"/>
      <c r="T90"/>
      <c r="U90"/>
      <c r="V90"/>
      <c r="W90"/>
      <c r="X90"/>
      <c r="Y90"/>
      <c r="Z90"/>
      <c r="AA90"/>
    </row>
    <row r="91" spans="1:34" ht="18" customHeight="1" x14ac:dyDescent="0.25">
      <c r="A91" s="120">
        <f t="shared" si="1"/>
        <v>86</v>
      </c>
      <c r="C91" s="143"/>
      <c r="D91" s="143"/>
      <c r="E91" s="143"/>
      <c r="F91" s="143"/>
      <c r="G91" s="143"/>
      <c r="H91" s="143"/>
      <c r="I91" s="143"/>
      <c r="J91" s="143"/>
      <c r="T91"/>
      <c r="U91"/>
      <c r="V91"/>
      <c r="W91"/>
      <c r="X91"/>
      <c r="Y91"/>
      <c r="Z91"/>
      <c r="AA91"/>
    </row>
    <row r="92" spans="1:34" ht="18" customHeight="1" x14ac:dyDescent="0.25">
      <c r="A92" s="120">
        <f t="shared" si="1"/>
        <v>87</v>
      </c>
      <c r="T92"/>
      <c r="U92"/>
      <c r="V92"/>
      <c r="W92"/>
      <c r="X92"/>
      <c r="Y92"/>
      <c r="Z92"/>
      <c r="AA92"/>
    </row>
    <row r="93" spans="1:34" ht="18" customHeight="1" x14ac:dyDescent="0.25">
      <c r="A93" s="120">
        <f t="shared" si="1"/>
        <v>88</v>
      </c>
      <c r="T93"/>
      <c r="U93"/>
      <c r="V93"/>
      <c r="W93"/>
      <c r="X93"/>
      <c r="Y93"/>
      <c r="Z93"/>
      <c r="AA93"/>
    </row>
    <row r="94" spans="1:34" ht="18" customHeight="1" x14ac:dyDescent="0.25">
      <c r="A94" s="120">
        <f t="shared" si="1"/>
        <v>89</v>
      </c>
      <c r="T94"/>
      <c r="U94"/>
      <c r="V94"/>
      <c r="W94"/>
      <c r="X94"/>
      <c r="Y94"/>
      <c r="Z94"/>
      <c r="AA94"/>
    </row>
    <row r="95" spans="1:34" ht="18" customHeight="1" x14ac:dyDescent="0.25">
      <c r="A95" s="120">
        <f t="shared" si="1"/>
        <v>90</v>
      </c>
      <c r="N95" s="621" t="str">
        <f>+IF($K$2="EN",Text!$B$72,Text!$C$72)</f>
        <v>EDPR Investor Relations</v>
      </c>
      <c r="O95" s="621"/>
      <c r="P95" s="621"/>
      <c r="Q95" s="622" t="str">
        <f>+IF($K$2="EN",Text!$B$73,Text!$C$73)</f>
        <v>Phone: +34 900 830 004</v>
      </c>
      <c r="R95" s="623"/>
      <c r="T95"/>
      <c r="U95"/>
      <c r="V95"/>
      <c r="W95"/>
      <c r="X95"/>
      <c r="Y95"/>
      <c r="Z95"/>
      <c r="AA95"/>
    </row>
    <row r="96" spans="1:34" ht="18" customHeight="1" x14ac:dyDescent="0.25">
      <c r="A96" s="120">
        <f t="shared" si="1"/>
        <v>91</v>
      </c>
      <c r="C96" s="253" t="str">
        <f>+IF($K$2="EN",Text!$B$76,Text!$C$76)</f>
        <v>EDP Renováveis, S.A. | Head office: Plaza del Fresno, 2 - 33007 Oviedo, Spain</v>
      </c>
      <c r="O96" s="617" t="str">
        <f>+IF($K$2="EN",Text!$B$75,Text!$C$75)</f>
        <v>Site: www.edpr-investors.com</v>
      </c>
      <c r="P96" s="617"/>
      <c r="Q96" s="255" t="str">
        <f>+IF($K$2="EN",Text!$B$74,Text!$C$74)</f>
        <v>Email: ir@edpr.com</v>
      </c>
      <c r="T96"/>
      <c r="U96"/>
      <c r="V96"/>
      <c r="W96"/>
      <c r="X96"/>
      <c r="Y96"/>
      <c r="Z96"/>
      <c r="AA96"/>
    </row>
    <row r="97" spans="1:27" ht="18" customHeight="1" x14ac:dyDescent="0.25">
      <c r="A97" s="120">
        <v>1</v>
      </c>
      <c r="T97"/>
      <c r="U97"/>
      <c r="V97"/>
      <c r="W97"/>
      <c r="X97"/>
      <c r="Y97"/>
      <c r="Z97"/>
      <c r="AA97"/>
    </row>
    <row r="98" spans="1:27" ht="51" customHeight="1" x14ac:dyDescent="0.25">
      <c r="A98" s="120">
        <f t="shared" ref="A98:A161" si="2">A97+1</f>
        <v>2</v>
      </c>
      <c r="C98" s="217" t="str">
        <f>+IF($K$2="EN",Text!$B$2,Text!$C$2)</f>
        <v>Operating Data Preview 2025</v>
      </c>
      <c r="I98" s="128"/>
      <c r="K98" s="156"/>
      <c r="L98" s="129"/>
      <c r="M98" s="268" t="str">
        <f>+IF($N$2="YES","DRAFT","")</f>
        <v/>
      </c>
      <c r="N98" s="250"/>
      <c r="T98"/>
      <c r="U98"/>
      <c r="V98"/>
      <c r="W98"/>
      <c r="X98"/>
      <c r="Y98"/>
      <c r="Z98"/>
      <c r="AA98"/>
    </row>
    <row r="99" spans="1:27" ht="24.75" customHeight="1" x14ac:dyDescent="0.25">
      <c r="A99" s="120">
        <f t="shared" si="2"/>
        <v>3</v>
      </c>
      <c r="C99" s="176" t="str">
        <f>+IF($K$2="EN",Text!$B$5,Text!$C$5)</f>
        <v>Madrid, January 22nd, 2026</v>
      </c>
      <c r="D99" s="177"/>
      <c r="E99" s="177"/>
      <c r="F99" s="177"/>
      <c r="G99" s="177"/>
      <c r="H99" s="177"/>
      <c r="I99" s="177"/>
      <c r="J99" s="177"/>
      <c r="K99" s="177"/>
      <c r="L99" s="177"/>
      <c r="M99" s="177"/>
      <c r="N99" s="177"/>
      <c r="O99" s="177"/>
      <c r="P99" s="177"/>
      <c r="Q99" s="177"/>
      <c r="T99"/>
      <c r="U99"/>
      <c r="V99"/>
      <c r="W99"/>
      <c r="X99"/>
      <c r="Y99"/>
      <c r="Z99"/>
      <c r="AA99"/>
    </row>
    <row r="100" spans="1:27" ht="18" customHeight="1" x14ac:dyDescent="0.25">
      <c r="A100" s="120">
        <f t="shared" si="2"/>
        <v>4</v>
      </c>
      <c r="T100"/>
      <c r="U100"/>
      <c r="V100"/>
      <c r="W100"/>
      <c r="X100"/>
      <c r="Y100"/>
      <c r="Z100"/>
      <c r="AA100"/>
    </row>
    <row r="101" spans="1:27" ht="18" customHeight="1" thickBot="1" x14ac:dyDescent="0.4">
      <c r="A101" s="120">
        <f t="shared" si="2"/>
        <v>5</v>
      </c>
      <c r="C101" s="144" t="str">
        <f>C30</f>
        <v>Installed Capacity</v>
      </c>
      <c r="D101" s="145"/>
      <c r="E101" s="145"/>
      <c r="F101" s="145"/>
      <c r="G101" s="145"/>
      <c r="H101" s="145"/>
      <c r="I101" s="145"/>
      <c r="J101" s="145"/>
      <c r="L101" s="624" t="str">
        <f>+IF($K$2="EN",Text!$B$14,Text!$C$14)</f>
        <v>Installed Capacity by Technology</v>
      </c>
      <c r="M101" s="624"/>
      <c r="N101" s="624"/>
      <c r="O101" s="624"/>
      <c r="P101" s="624"/>
      <c r="Q101" s="624"/>
      <c r="T101"/>
      <c r="U101"/>
      <c r="V101"/>
      <c r="W101"/>
      <c r="X101"/>
      <c r="Y101"/>
      <c r="Z101"/>
      <c r="AA101"/>
    </row>
    <row r="102" spans="1:27" ht="18" customHeight="1" x14ac:dyDescent="0.25">
      <c r="A102" s="120">
        <f t="shared" si="2"/>
        <v>6</v>
      </c>
      <c r="G102" s="131"/>
      <c r="H102" s="228">
        <f>Cur_Year</f>
        <v>2025</v>
      </c>
      <c r="I102" s="131"/>
      <c r="T102"/>
      <c r="U102"/>
      <c r="V102"/>
      <c r="W102"/>
      <c r="X102"/>
      <c r="Y102"/>
      <c r="Z102"/>
      <c r="AA102"/>
    </row>
    <row r="103" spans="1:27" ht="18" customHeight="1" x14ac:dyDescent="0.25">
      <c r="A103" s="120">
        <f t="shared" si="2"/>
        <v>7</v>
      </c>
      <c r="C103" s="178" t="s">
        <v>9</v>
      </c>
      <c r="D103" s="148"/>
      <c r="E103" s="148"/>
      <c r="F103" s="162">
        <f>+Cur_Period</f>
        <v>2025</v>
      </c>
      <c r="G103" s="228" t="str">
        <f>+IF($K$2="EN",Text!$B$61,Text!$C$61)</f>
        <v>Additions</v>
      </c>
      <c r="H103" s="228" t="str">
        <f>+IF($K$2="EN",Text!$B$62,Text!$C$62)</f>
        <v>AR/Decom.</v>
      </c>
      <c r="I103" s="228" t="s">
        <v>8</v>
      </c>
      <c r="J103" s="228" t="str">
        <f>+IF($K$2="EN",Text!$B$63,Text!$C$63)</f>
        <v>U/C</v>
      </c>
      <c r="T103"/>
      <c r="U103"/>
      <c r="V103"/>
      <c r="W103"/>
      <c r="X103"/>
      <c r="Y103"/>
      <c r="Z103"/>
      <c r="AA103"/>
    </row>
    <row r="104" spans="1:27" ht="18" customHeight="1" x14ac:dyDescent="0.25">
      <c r="A104" s="120">
        <f t="shared" si="2"/>
        <v>8</v>
      </c>
      <c r="C104" s="138" t="str">
        <f>+IF($K$2="EN",Text!$B$28,Text!$C$28)</f>
        <v>Spain</v>
      </c>
      <c r="D104" s="133"/>
      <c r="E104" s="133"/>
      <c r="F104" s="179" t="b">
        <f>+EN!F104=EN!F131+EN!F153</f>
        <v>1</v>
      </c>
      <c r="G104" s="180" t="b">
        <f>+EN!G104=EN!G131+EN!G153</f>
        <v>1</v>
      </c>
      <c r="H104" s="180" t="b">
        <f>+EN!H104=EN!H131+EN!H153</f>
        <v>1</v>
      </c>
      <c r="I104" s="181" t="b">
        <f>+EN!I104=EN!I131+EN!I153</f>
        <v>1</v>
      </c>
      <c r="J104" s="182" t="b">
        <f>+EN!J104=EN!J131+EN!J153</f>
        <v>1</v>
      </c>
      <c r="T104"/>
      <c r="U104"/>
      <c r="V104"/>
      <c r="W104"/>
      <c r="X104"/>
      <c r="Y104"/>
      <c r="Z104"/>
      <c r="AA104"/>
    </row>
    <row r="105" spans="1:27" ht="18" customHeight="1" x14ac:dyDescent="0.25">
      <c r="A105" s="120">
        <f t="shared" si="2"/>
        <v>9</v>
      </c>
      <c r="C105" s="138" t="str">
        <f>+IF($K$2="EN",Text!$B$29,Text!$C$29)</f>
        <v>Portugal</v>
      </c>
      <c r="D105" s="133"/>
      <c r="E105" s="133"/>
      <c r="F105" s="179" t="b">
        <f>EN!F105=EN!F132+EN!F154</f>
        <v>1</v>
      </c>
      <c r="G105" s="180" t="b">
        <f>EN!G105=EN!G132+EN!G154</f>
        <v>1</v>
      </c>
      <c r="H105" s="180" t="b">
        <f>EN!H105=EN!H132+EN!H154</f>
        <v>1</v>
      </c>
      <c r="I105" s="181" t="b">
        <f>EN!I105=EN!I132+EN!I154</f>
        <v>1</v>
      </c>
      <c r="J105" s="182" t="b">
        <f>EN!J105=EN!J132+EN!J154</f>
        <v>1</v>
      </c>
      <c r="T105"/>
      <c r="U105"/>
      <c r="V105"/>
      <c r="W105"/>
      <c r="X105"/>
      <c r="Y105"/>
      <c r="Z105"/>
      <c r="AA105"/>
    </row>
    <row r="106" spans="1:27" ht="18" customHeight="1" x14ac:dyDescent="0.25">
      <c r="A106" s="120">
        <f t="shared" si="2"/>
        <v>10</v>
      </c>
      <c r="C106" s="138" t="str">
        <f>+IF($K$2="EN",Text!$B$30,Text!$C$30)</f>
        <v>Rest of Europe</v>
      </c>
      <c r="D106" s="133"/>
      <c r="E106" s="133"/>
      <c r="F106" s="179" t="b">
        <f>+EN!F106=EN!F133+EN!F155</f>
        <v>1</v>
      </c>
      <c r="G106" s="180" t="b">
        <f>+EN!G106=EN!G133+EN!G155</f>
        <v>1</v>
      </c>
      <c r="H106" s="180" t="b">
        <f>+EN!H106=EN!H133+EN!H155</f>
        <v>1</v>
      </c>
      <c r="I106" s="181" t="b">
        <f>+EN!I106=EN!I133+EN!I155</f>
        <v>1</v>
      </c>
      <c r="J106" s="182" t="b">
        <f>+EN!J106=EN!J133+EN!J155</f>
        <v>1</v>
      </c>
      <c r="T106"/>
      <c r="U106"/>
      <c r="V106"/>
      <c r="W106"/>
      <c r="X106"/>
      <c r="Y106"/>
      <c r="Z106"/>
      <c r="AA106"/>
    </row>
    <row r="107" spans="1:27" ht="18" customHeight="1" x14ac:dyDescent="0.25">
      <c r="A107" s="120">
        <f t="shared" si="2"/>
        <v>11</v>
      </c>
      <c r="C107" s="167" t="str">
        <f>+IF($K$2="EN",Text!$B$27,Text!$C$27)</f>
        <v>Europe</v>
      </c>
      <c r="D107" s="168"/>
      <c r="E107" s="168"/>
      <c r="F107" s="184" t="b">
        <f>+EN!F107=EN!F134+EN!F156</f>
        <v>1</v>
      </c>
      <c r="G107" s="185" t="b">
        <f>+EN!G107=EN!G134+EN!G156</f>
        <v>1</v>
      </c>
      <c r="H107" s="185" t="b">
        <f>+EN!H107=EN!H134+EN!H156</f>
        <v>1</v>
      </c>
      <c r="I107" s="186" t="b">
        <f>+EN!I107=EN!I134+EN!I156</f>
        <v>1</v>
      </c>
      <c r="J107" s="149" t="b">
        <f>+EN!J107=EN!J134+EN!J156</f>
        <v>1</v>
      </c>
      <c r="K107" s="266"/>
      <c r="T107"/>
      <c r="U107"/>
      <c r="V107"/>
      <c r="W107"/>
      <c r="X107"/>
      <c r="Y107"/>
      <c r="Z107"/>
      <c r="AA107"/>
    </row>
    <row r="108" spans="1:27" ht="18" customHeight="1" x14ac:dyDescent="0.25">
      <c r="A108" s="120">
        <f t="shared" si="2"/>
        <v>12</v>
      </c>
      <c r="C108" s="138" t="str">
        <f>+IF($K$2="EN",Text!$B$35,Text!$C$35)</f>
        <v>US</v>
      </c>
      <c r="D108" s="133"/>
      <c r="E108" s="133"/>
      <c r="F108" s="179" t="b">
        <f>+EN!F108=EN!F135+EN!F157</f>
        <v>1</v>
      </c>
      <c r="G108" s="180" t="b">
        <f>+EN!G108=EN!G135+EN!G157</f>
        <v>1</v>
      </c>
      <c r="H108" s="180" t="b">
        <f>+EN!H108=EN!H135+EN!H157</f>
        <v>1</v>
      </c>
      <c r="I108" s="181" t="b">
        <f>+EN!I108=EN!I135+EN!I157</f>
        <v>1</v>
      </c>
      <c r="J108" s="182" t="b">
        <f>+EN!J108=EN!J135+EN!J157</f>
        <v>1</v>
      </c>
      <c r="O108" s="124"/>
      <c r="T108"/>
      <c r="U108"/>
      <c r="V108"/>
      <c r="W108"/>
      <c r="X108"/>
      <c r="Y108"/>
      <c r="Z108"/>
      <c r="AA108"/>
    </row>
    <row r="109" spans="1:27" ht="18" customHeight="1" x14ac:dyDescent="0.25">
      <c r="A109" s="120">
        <f t="shared" si="2"/>
        <v>13</v>
      </c>
      <c r="C109" s="138" t="str">
        <f>+IF($K$2="EN",Text!$B$38,Text!$C$38)</f>
        <v>Canada &amp; Mexico</v>
      </c>
      <c r="D109" s="133"/>
      <c r="E109" s="133"/>
      <c r="F109" s="179" t="b">
        <f>+EN!F109=EN!F136+EN!F158</f>
        <v>1</v>
      </c>
      <c r="G109" s="180" t="b">
        <f>+EN!G109=EN!G136+EN!G158</f>
        <v>1</v>
      </c>
      <c r="H109" s="180" t="b">
        <f>+EN!H109=EN!H136+EN!H158</f>
        <v>1</v>
      </c>
      <c r="I109" s="181" t="b">
        <f>+EN!I109=EN!I136+EN!I158</f>
        <v>1</v>
      </c>
      <c r="J109" s="182" t="b">
        <f>+EN!J109=EN!J136+EN!J158</f>
        <v>1</v>
      </c>
      <c r="K109" s="288"/>
      <c r="N109" s="571">
        <f>N37</f>
        <v>0</v>
      </c>
      <c r="O109" s="571"/>
      <c r="P109" s="124"/>
      <c r="T109"/>
      <c r="U109"/>
      <c r="V109"/>
      <c r="W109"/>
      <c r="X109"/>
      <c r="Y109"/>
      <c r="Z109"/>
      <c r="AA109"/>
    </row>
    <row r="110" spans="1:27" ht="18" customHeight="1" x14ac:dyDescent="0.25">
      <c r="A110" s="120">
        <f t="shared" si="2"/>
        <v>14</v>
      </c>
      <c r="C110" s="167" t="str">
        <f>+IF($K$2="EN",Text!$B$34,Text!$C$34)</f>
        <v>North America</v>
      </c>
      <c r="D110" s="168"/>
      <c r="E110" s="168"/>
      <c r="F110" s="184" t="b">
        <f>+ROUND(EN!F110,2)=ROUND(EN!F137+EN!F159,2)</f>
        <v>1</v>
      </c>
      <c r="G110" s="185" t="b">
        <f>+EN!G110=EN!G137+EN!G159</f>
        <v>1</v>
      </c>
      <c r="H110" s="185" t="b">
        <f>+EN!H110=EN!H137+EN!H159</f>
        <v>1</v>
      </c>
      <c r="I110" s="186" t="b">
        <f>+EN!I110=EN!I137+EN!I159</f>
        <v>1</v>
      </c>
      <c r="J110" s="149" t="b">
        <f>+EN!J110=EN!J137+EN!J159</f>
        <v>1</v>
      </c>
      <c r="N110" s="571"/>
      <c r="O110" s="571"/>
      <c r="S110" s="188"/>
      <c r="T110"/>
      <c r="U110"/>
      <c r="V110"/>
      <c r="W110"/>
      <c r="X110"/>
      <c r="Y110"/>
      <c r="Z110"/>
      <c r="AA110"/>
    </row>
    <row r="111" spans="1:27" ht="18" customHeight="1" x14ac:dyDescent="0.25">
      <c r="A111" s="120">
        <f t="shared" si="2"/>
        <v>15</v>
      </c>
      <c r="C111" s="138" t="str">
        <f>+IF($K$2="EN",Text!$B$41,Text!$C$41)</f>
        <v>Brazil</v>
      </c>
      <c r="D111" s="133"/>
      <c r="E111" s="133"/>
      <c r="F111" s="179" t="b">
        <f>+EN!F111=EN!F138+EN!F160</f>
        <v>1</v>
      </c>
      <c r="G111" s="180" t="b">
        <f>+EN!G111=EN!G138+EN!G160</f>
        <v>1</v>
      </c>
      <c r="H111" s="180" t="b">
        <f>+EN!H111=EN!H138+EN!H160</f>
        <v>1</v>
      </c>
      <c r="I111" s="181" t="b">
        <f>+EN!I111=EN!I138+EN!I160</f>
        <v>1</v>
      </c>
      <c r="J111" s="311" t="b">
        <f>+EN!J111=EN!J138+EN!J160</f>
        <v>1</v>
      </c>
      <c r="N111" s="571"/>
      <c r="O111" s="571"/>
      <c r="S111" s="189"/>
      <c r="T111"/>
      <c r="U111"/>
      <c r="V111"/>
      <c r="W111"/>
      <c r="X111"/>
      <c r="Y111"/>
      <c r="Z111"/>
      <c r="AA111"/>
    </row>
    <row r="112" spans="1:27" ht="18" customHeight="1" x14ac:dyDescent="0.25">
      <c r="A112" s="120">
        <f t="shared" si="2"/>
        <v>16</v>
      </c>
      <c r="C112" s="138" t="str">
        <f>+IF($K$2="EN",Text!$B$45,Text!$C$45)</f>
        <v>Colombia &amp; Chile</v>
      </c>
      <c r="D112" s="133"/>
      <c r="E112" s="133"/>
      <c r="F112" s="179" t="b">
        <f>+EN!F112=EN!F139</f>
        <v>1</v>
      </c>
      <c r="G112" s="180" t="b">
        <f>+EN!G112=EN!G139</f>
        <v>1</v>
      </c>
      <c r="H112" s="180" t="b">
        <f>+EN!H112=EN!H139</f>
        <v>1</v>
      </c>
      <c r="I112" s="181" t="b">
        <f>+EN!I112=EN!I139</f>
        <v>1</v>
      </c>
      <c r="J112" s="182" t="b">
        <f>+EN!J112=EN!J139+EN!J161</f>
        <v>1</v>
      </c>
      <c r="T112"/>
      <c r="U112"/>
      <c r="V112"/>
      <c r="W112"/>
      <c r="X112"/>
      <c r="Y112"/>
      <c r="Z112"/>
      <c r="AA112"/>
    </row>
    <row r="113" spans="1:27" ht="18" customHeight="1" x14ac:dyDescent="0.25">
      <c r="A113" s="120">
        <f t="shared" si="2"/>
        <v>17</v>
      </c>
      <c r="C113" s="167" t="str">
        <f>+IF($K$2="EN",Text!$B$40,Text!$C$40)</f>
        <v>South America</v>
      </c>
      <c r="F113" s="184" t="b">
        <f>+EN!F113=EN!F140+EN!F162</f>
        <v>1</v>
      </c>
      <c r="G113" s="185" t="b">
        <f>+EN!G113=EN!G140+EN!G162</f>
        <v>1</v>
      </c>
      <c r="H113" s="185" t="b">
        <f>+EN!H113=EN!H140+EN!H162</f>
        <v>1</v>
      </c>
      <c r="I113" s="186" t="b">
        <f>+EN!I113=EN!I140+EN!I162</f>
        <v>1</v>
      </c>
      <c r="J113" s="149" t="b">
        <f>+EN!J113=EN!J140+EN!J162</f>
        <v>1</v>
      </c>
      <c r="T113"/>
      <c r="U113"/>
      <c r="V113"/>
      <c r="W113"/>
      <c r="X113"/>
      <c r="Y113"/>
      <c r="Z113"/>
      <c r="AA113"/>
    </row>
    <row r="114" spans="1:27" ht="18" customHeight="1" x14ac:dyDescent="0.25">
      <c r="A114" s="120">
        <f t="shared" si="2"/>
        <v>18</v>
      </c>
      <c r="C114" s="138" t="str">
        <f>+IF($K$2="EN",Text!$B$47,Text!$C$47)</f>
        <v>Vietnam</v>
      </c>
      <c r="F114" s="179" t="b">
        <f>+EN!F114=EN!F163</f>
        <v>1</v>
      </c>
      <c r="G114" s="180" t="b">
        <f>+EN!G114=EN!G163</f>
        <v>1</v>
      </c>
      <c r="H114" s="180" t="b">
        <f>+EN!H114=EN!H163</f>
        <v>1</v>
      </c>
      <c r="I114" s="181" t="b">
        <f>+EN!I114=EN!I163</f>
        <v>1</v>
      </c>
      <c r="J114" s="182" t="b">
        <f>+EN!J114=EN!J163</f>
        <v>1</v>
      </c>
      <c r="T114"/>
      <c r="U114"/>
      <c r="V114"/>
      <c r="W114"/>
      <c r="X114"/>
      <c r="Y114"/>
      <c r="Z114"/>
      <c r="AA114"/>
    </row>
    <row r="115" spans="1:27" ht="18" customHeight="1" x14ac:dyDescent="0.25">
      <c r="A115" s="120">
        <f t="shared" si="2"/>
        <v>19</v>
      </c>
      <c r="C115" s="138" t="str">
        <f>+IF($K$2="EN",Text!$B$48,Text!$C$48)</f>
        <v>Singapore</v>
      </c>
      <c r="F115" s="179" t="b">
        <f>+EN!F115=EN!F164</f>
        <v>1</v>
      </c>
      <c r="G115" s="180" t="b">
        <f>+EN!G115=EN!G164</f>
        <v>1</v>
      </c>
      <c r="H115" s="180" t="b">
        <f>+EN!H115=EN!H164</f>
        <v>1</v>
      </c>
      <c r="I115" s="181" t="b">
        <f>+EN!I115=EN!I164</f>
        <v>1</v>
      </c>
      <c r="J115" s="182" t="b">
        <f>+EN!J115=EN!J164</f>
        <v>1</v>
      </c>
      <c r="K115" s="189"/>
      <c r="T115"/>
      <c r="U115"/>
      <c r="V115"/>
      <c r="W115"/>
      <c r="X115"/>
      <c r="Y115"/>
      <c r="Z115"/>
      <c r="AA115"/>
    </row>
    <row r="116" spans="1:27" ht="18" customHeight="1" x14ac:dyDescent="0.25">
      <c r="A116" s="120">
        <f t="shared" si="2"/>
        <v>20</v>
      </c>
      <c r="C116" s="138" t="str">
        <f>+IF($K$2="EN",Text!$B$49,Text!$C$49)</f>
        <v>Rest of APAC</v>
      </c>
      <c r="F116" s="179" t="b">
        <f>+EN!F116=EN!F165</f>
        <v>1</v>
      </c>
      <c r="G116" s="180" t="b">
        <f>+EN!G116=EN!G165</f>
        <v>1</v>
      </c>
      <c r="H116" s="180" t="b">
        <f>+EN!H116=EN!H165</f>
        <v>1</v>
      </c>
      <c r="I116" s="181" t="b">
        <f>+EN!I116=EN!I165</f>
        <v>1</v>
      </c>
      <c r="J116" s="182" t="b">
        <f>+EN!J116=EN!J165</f>
        <v>1</v>
      </c>
      <c r="T116"/>
      <c r="U116"/>
      <c r="V116"/>
      <c r="W116"/>
      <c r="X116"/>
      <c r="Y116"/>
      <c r="Z116"/>
      <c r="AA116"/>
    </row>
    <row r="117" spans="1:27" ht="18" customHeight="1" x14ac:dyDescent="0.25">
      <c r="A117" s="120">
        <f t="shared" si="2"/>
        <v>21</v>
      </c>
      <c r="C117" s="147" t="str">
        <f>+IF($K$2="EN",Text!$B$46,Text!$C$46)</f>
        <v>APAC</v>
      </c>
      <c r="D117" s="131"/>
      <c r="E117" s="131"/>
      <c r="F117" s="169" t="b">
        <f>+ROUND(EN!F117,0)=ROUND(EN!F166,0)</f>
        <v>1</v>
      </c>
      <c r="G117" s="170" t="b">
        <f>+ROUND(EN!G117,0)=ROUND(EN!G166,0)</f>
        <v>1</v>
      </c>
      <c r="H117" s="170" t="b">
        <f>+ROUND(EN!H117,0)=ROUND(EN!H166,0)</f>
        <v>1</v>
      </c>
      <c r="I117" s="190" t="b">
        <f>+ROUND(EN!I117,0)=ROUND(EN!I166,0)</f>
        <v>1</v>
      </c>
      <c r="J117" s="191" t="b">
        <f>+ROUND(EN!J117,0)=ROUND(EN!J166,0)</f>
        <v>1</v>
      </c>
      <c r="T117"/>
      <c r="U117"/>
      <c r="V117"/>
      <c r="W117"/>
      <c r="X117"/>
      <c r="Y117"/>
      <c r="Z117"/>
      <c r="AA117"/>
    </row>
    <row r="118" spans="1:27" ht="18" customHeight="1" x14ac:dyDescent="0.25">
      <c r="A118" s="120">
        <f t="shared" si="2"/>
        <v>22</v>
      </c>
      <c r="C118" s="192" t="str">
        <f>+IF($K$2="EN",Text!$B$55,Text!$C$55)</f>
        <v>EBITDA MW</v>
      </c>
      <c r="D118" s="192"/>
      <c r="E118" s="192"/>
      <c r="F118" s="193" t="b">
        <f>+EN!F118=EN!F141+EN!F167</f>
        <v>1</v>
      </c>
      <c r="G118" s="194" t="b">
        <f>+EN!G118=EN!G141+EN!G167</f>
        <v>1</v>
      </c>
      <c r="H118" s="194" t="b">
        <f>+EN!H118=EN!H141+EN!H167</f>
        <v>1</v>
      </c>
      <c r="I118" s="195" t="b">
        <f>+EN!I118=EN!I141+EN!I167</f>
        <v>1</v>
      </c>
      <c r="J118" s="160" t="b">
        <f>+EN!J118=EN!J141+EN!J167</f>
        <v>1</v>
      </c>
      <c r="T118"/>
      <c r="U118"/>
      <c r="V118"/>
      <c r="W118"/>
      <c r="X118"/>
      <c r="Y118"/>
      <c r="Z118"/>
      <c r="AA118"/>
    </row>
    <row r="119" spans="1:27" ht="18" customHeight="1" x14ac:dyDescent="0.25">
      <c r="A119" s="120">
        <f t="shared" si="2"/>
        <v>23</v>
      </c>
      <c r="C119" s="138" t="str">
        <f>+IF($K$2="EN",Text!$B$28,Text!$C$28)</f>
        <v>Spain</v>
      </c>
      <c r="F119" s="179" t="b">
        <f>+EN!F119=EN!F142</f>
        <v>1</v>
      </c>
      <c r="G119" s="180" t="b">
        <f>+EN!G119=EN!G142</f>
        <v>1</v>
      </c>
      <c r="H119" s="180" t="b">
        <f>+EN!H119=EN!H142</f>
        <v>1</v>
      </c>
      <c r="I119" s="181" t="b">
        <f>+EN!I119=EN!I142</f>
        <v>1</v>
      </c>
      <c r="J119" s="183" t="b">
        <f>+EN!J119=EN!J142</f>
        <v>1</v>
      </c>
      <c r="T119"/>
      <c r="U119"/>
      <c r="V119"/>
      <c r="W119"/>
      <c r="X119"/>
      <c r="Y119"/>
      <c r="Z119"/>
      <c r="AA119"/>
    </row>
    <row r="120" spans="1:27" ht="18" customHeight="1" x14ac:dyDescent="0.25">
      <c r="A120" s="120">
        <f t="shared" si="2"/>
        <v>24</v>
      </c>
      <c r="C120" s="138" t="str">
        <f>+IF($K$2="EN",Text!$B$29,Text!$C$29)</f>
        <v>Portugal</v>
      </c>
      <c r="F120" s="179" t="b">
        <f>+EN!F120=EN!F143+EN!F177</f>
        <v>1</v>
      </c>
      <c r="G120" s="180" t="b">
        <f>+EN!G120=EN!G143+EN!G177</f>
        <v>1</v>
      </c>
      <c r="H120" s="180" t="b">
        <f>+EN!H120=EN!H143+EN!H177</f>
        <v>1</v>
      </c>
      <c r="I120" s="181" t="b">
        <f>+EN!I120=EN!I143+EN!I177</f>
        <v>1</v>
      </c>
      <c r="J120" s="183" t="b">
        <f>+EN!J120=EN!J143+EN!J177</f>
        <v>1</v>
      </c>
      <c r="T120"/>
      <c r="U120"/>
      <c r="V120"/>
      <c r="W120"/>
      <c r="X120"/>
      <c r="Y120"/>
      <c r="Z120"/>
      <c r="AA120"/>
    </row>
    <row r="121" spans="1:27" ht="18" customHeight="1" x14ac:dyDescent="0.25">
      <c r="A121" s="120">
        <f t="shared" si="2"/>
        <v>25</v>
      </c>
      <c r="C121" s="138" t="str">
        <f>+IF($K$2="EN",Text!$B$30,Text!$C$30)</f>
        <v>Rest of Europe</v>
      </c>
      <c r="F121" s="179" t="b">
        <f>+EN!F121=EN!F178+EN!F179</f>
        <v>1</v>
      </c>
      <c r="G121" s="180" t="b">
        <f>+EN!G121=EN!G178+EN!G179</f>
        <v>1</v>
      </c>
      <c r="H121" s="180" t="b">
        <f>+EN!H121=EN!H178+EN!H179</f>
        <v>1</v>
      </c>
      <c r="I121" s="181" t="b">
        <f>+EN!I121=EN!I178+EN!I179</f>
        <v>1</v>
      </c>
      <c r="J121" s="183" t="b">
        <f>+EN!J121=EN!J178+EN!J179+EN!J180</f>
        <v>1</v>
      </c>
      <c r="T121"/>
      <c r="U121"/>
      <c r="V121"/>
      <c r="W121"/>
      <c r="X121"/>
      <c r="Y121"/>
      <c r="Z121"/>
      <c r="AA121"/>
    </row>
    <row r="122" spans="1:27" ht="18" customHeight="1" x14ac:dyDescent="0.25">
      <c r="A122" s="120">
        <f t="shared" si="2"/>
        <v>26</v>
      </c>
      <c r="C122" s="167" t="str">
        <f>+IF($K$2="EN",Text!$B$27,Text!$C$27)</f>
        <v>Europe</v>
      </c>
      <c r="F122" s="184" t="b">
        <f>+EN!F122=EN!F144+EN!F181</f>
        <v>1</v>
      </c>
      <c r="G122" s="185" t="b">
        <f>+EN!G122=EN!G144+EN!G181</f>
        <v>1</v>
      </c>
      <c r="H122" s="185" t="b">
        <f>+EN!H122=EN!H144+EN!H181</f>
        <v>1</v>
      </c>
      <c r="I122" s="186" t="b">
        <f>+EN!I122=EN!I144+EN!I181</f>
        <v>1</v>
      </c>
      <c r="J122" s="187" t="b">
        <f>+EN!J122=EN!J144+EN!J181</f>
        <v>1</v>
      </c>
      <c r="L122" s="178" t="str">
        <f>+IF(Checks!$K$2="EN",Text!$B$20,Text!$C$20)</f>
        <v>Technology</v>
      </c>
      <c r="M122" s="178"/>
      <c r="N122" s="178"/>
      <c r="O122" s="203"/>
      <c r="P122" s="227" t="s">
        <v>52</v>
      </c>
      <c r="Q122" s="163" t="s">
        <v>13</v>
      </c>
      <c r="T122"/>
      <c r="U122"/>
      <c r="V122"/>
      <c r="W122"/>
      <c r="X122"/>
      <c r="Y122"/>
      <c r="Z122"/>
      <c r="AA122"/>
    </row>
    <row r="123" spans="1:27" ht="18" customHeight="1" x14ac:dyDescent="0.25">
      <c r="A123" s="120">
        <f t="shared" si="2"/>
        <v>27</v>
      </c>
      <c r="C123" s="167" t="str">
        <f>+IF($K$2="EN",Text!$B$34,Text!$C$34)</f>
        <v>North America</v>
      </c>
      <c r="D123" s="168"/>
      <c r="E123" s="168"/>
      <c r="F123" s="184" t="b">
        <f>+EN!F123=EN!F146+EN!F169</f>
        <v>1</v>
      </c>
      <c r="G123" s="185" t="b">
        <f>+EN!G123=EN!G146+EN!G169</f>
        <v>1</v>
      </c>
      <c r="H123" s="185" t="b">
        <f>+EN!H123=EN!H146+EN!H169</f>
        <v>1</v>
      </c>
      <c r="I123" s="186" t="b">
        <f>+EN!I123=EN!I146+EN!I169</f>
        <v>1</v>
      </c>
      <c r="J123" s="187" t="b">
        <f>+EN!J123=EN!J146+EN!J169</f>
        <v>1</v>
      </c>
      <c r="L123" s="133" t="str">
        <f>+IF(Checks!$K$2="EN",Text!$B$21,Text!$C$21)</f>
        <v>Onshore Wind</v>
      </c>
      <c r="P123" s="306" t="b">
        <f>+EN!P122=EN!F148</f>
        <v>1</v>
      </c>
      <c r="Q123" s="309"/>
      <c r="T123"/>
      <c r="U123"/>
      <c r="V123"/>
      <c r="W123"/>
      <c r="X123"/>
      <c r="Y123"/>
      <c r="Z123"/>
      <c r="AA123"/>
    </row>
    <row r="124" spans="1:27" ht="18" customHeight="1" x14ac:dyDescent="0.25">
      <c r="A124" s="120">
        <f t="shared" si="2"/>
        <v>28</v>
      </c>
      <c r="C124" s="147" t="str">
        <f>+IF($K$2="EN",Text!$B$46,Text!$C$46)</f>
        <v>APAC</v>
      </c>
      <c r="D124" s="131"/>
      <c r="E124" s="131"/>
      <c r="F124" s="169" t="b">
        <f>+EN!F124=EN!F170</f>
        <v>1</v>
      </c>
      <c r="G124" s="170" t="b">
        <f>+EN!G124=EN!G170</f>
        <v>1</v>
      </c>
      <c r="H124" s="170" t="b">
        <f>+EN!H124=EN!H170</f>
        <v>1</v>
      </c>
      <c r="I124" s="190" t="b">
        <f>+EN!I124=EN!I170</f>
        <v>1</v>
      </c>
      <c r="J124" s="198" t="b">
        <f>+EN!J124=EN!J170</f>
        <v>1</v>
      </c>
      <c r="L124" s="133" t="str">
        <f>+IF(Checks!$K$2="EN",Text!$B$24,Text!$C$24)</f>
        <v>Solar Utility Scale</v>
      </c>
      <c r="P124" s="306" t="b">
        <f>+ROUND(EN!P123+EN!P124+EN!P126,2)=ROUND(EN!F172,2)</f>
        <v>1</v>
      </c>
      <c r="Q124" s="309"/>
      <c r="T124"/>
      <c r="U124"/>
      <c r="V124"/>
      <c r="W124"/>
      <c r="X124"/>
      <c r="Y124"/>
      <c r="Z124"/>
      <c r="AA124"/>
    </row>
    <row r="125" spans="1:27" ht="18" customHeight="1" x14ac:dyDescent="0.25">
      <c r="A125" s="120">
        <f t="shared" si="2"/>
        <v>29</v>
      </c>
      <c r="C125" s="192" t="str">
        <f>+IF($K$2="EN",Text!$B$56,Text!$C$56)</f>
        <v>Eq. Consolidated</v>
      </c>
      <c r="D125" s="192"/>
      <c r="E125" s="192"/>
      <c r="F125" s="193" t="b">
        <f>+EN!F125=EN!F147+EN!F171+EN!F182</f>
        <v>1</v>
      </c>
      <c r="G125" s="194" t="b">
        <f>+EN!G125=EN!G147+EN!G171+EN!G182</f>
        <v>1</v>
      </c>
      <c r="H125" s="194" t="b">
        <f>+EN!H125=EN!H147+EN!H171+EN!H182</f>
        <v>1</v>
      </c>
      <c r="I125" s="195" t="b">
        <f>+EN!I125=EN!I147+EN!I171+EN!I182</f>
        <v>1</v>
      </c>
      <c r="J125" s="199" t="b">
        <f>+EN!J125=EN!J147+EN!J171+EN!J182</f>
        <v>1</v>
      </c>
      <c r="L125" s="133" t="str">
        <f>+IF(Checks!$K$2="EN",Text!$B$25,Text!$C$25)</f>
        <v>Solar DG</v>
      </c>
      <c r="P125" s="306"/>
      <c r="Q125" s="309"/>
      <c r="T125"/>
      <c r="U125"/>
      <c r="V125"/>
      <c r="W125"/>
      <c r="X125"/>
      <c r="Y125"/>
      <c r="Z125"/>
      <c r="AA125"/>
    </row>
    <row r="126" spans="1:27" ht="18" customHeight="1" x14ac:dyDescent="0.25">
      <c r="A126" s="120">
        <f t="shared" si="2"/>
        <v>30</v>
      </c>
      <c r="C126" s="157" t="str">
        <f>C37</f>
        <v>EDPR</v>
      </c>
      <c r="D126" s="157"/>
      <c r="E126" s="157"/>
      <c r="F126" s="193" t="b">
        <f>+EN!F126=EN!F148+EN!F172+EN!F182</f>
        <v>1</v>
      </c>
      <c r="G126" s="194" t="b">
        <f>+EN!G126=EN!G148+EN!G172+EN!G182</f>
        <v>1</v>
      </c>
      <c r="H126" s="194" t="b">
        <f>+EN!H126=EN!H148+EN!H172+EN!H182</f>
        <v>1</v>
      </c>
      <c r="I126" s="195" t="b">
        <f>+EN!I126=EN!I148+EN!I172+EN!I182</f>
        <v>1</v>
      </c>
      <c r="J126" s="199" t="b">
        <f>+EN!J126=EN!J148+EN!J172+EN!J182</f>
        <v>1</v>
      </c>
      <c r="L126" s="133" t="str">
        <f>+IF(Checks!$K$2="EN",Text!$B$23,Text!$C$23)</f>
        <v>Offshore Wind</v>
      </c>
      <c r="P126" s="306" t="b">
        <f>+EN!P125=EN!F182</f>
        <v>1</v>
      </c>
      <c r="Q126" s="309"/>
      <c r="T126"/>
      <c r="U126"/>
      <c r="V126"/>
      <c r="W126"/>
      <c r="X126"/>
      <c r="Y126"/>
      <c r="Z126"/>
      <c r="AA126"/>
    </row>
    <row r="127" spans="1:27" ht="18" customHeight="1" x14ac:dyDescent="0.25">
      <c r="A127" s="120">
        <f t="shared" si="2"/>
        <v>31</v>
      </c>
      <c r="L127" s="133" t="str">
        <f>+IF(Checks!$K$2="EN",Text!$B$26,Text!$C$26)</f>
        <v>BESS</v>
      </c>
      <c r="P127" s="306"/>
      <c r="Q127" s="309"/>
      <c r="T127"/>
      <c r="U127"/>
      <c r="V127"/>
      <c r="W127"/>
      <c r="X127"/>
      <c r="Y127"/>
      <c r="Z127"/>
      <c r="AA127"/>
    </row>
    <row r="128" spans="1:27" ht="18" customHeight="1" x14ac:dyDescent="0.25">
      <c r="A128" s="120">
        <f t="shared" si="2"/>
        <v>32</v>
      </c>
      <c r="G128" s="320"/>
      <c r="H128" s="296"/>
      <c r="I128" s="296"/>
      <c r="J128" s="252"/>
      <c r="T128"/>
      <c r="U128"/>
      <c r="V128"/>
      <c r="W128"/>
      <c r="X128"/>
      <c r="Y128"/>
      <c r="Z128"/>
      <c r="AA128"/>
    </row>
    <row r="129" spans="1:26" ht="18" customHeight="1" thickBot="1" x14ac:dyDescent="0.4">
      <c r="A129" s="120">
        <f t="shared" si="2"/>
        <v>33</v>
      </c>
      <c r="C129" s="144" t="str">
        <f>+IF($K$2="EN",Text!$B$21,Text!$C$21)</f>
        <v>Onshore Wind</v>
      </c>
      <c r="D129" s="135"/>
      <c r="E129" s="135"/>
      <c r="F129" s="135"/>
      <c r="G129" s="135"/>
      <c r="H129" s="135"/>
      <c r="I129" s="135"/>
      <c r="J129" s="135"/>
      <c r="L129" s="134" t="str">
        <f>+IF($K$2="EN",Text!$B$15,Text!$C$15)</f>
        <v>Capacity Additions YTD</v>
      </c>
      <c r="M129" s="201"/>
      <c r="N129" s="201"/>
      <c r="O129" s="201"/>
      <c r="P129" s="201"/>
      <c r="Q129" s="201"/>
      <c r="T129"/>
      <c r="U129"/>
      <c r="V129"/>
      <c r="W129"/>
      <c r="X129"/>
      <c r="Y129"/>
    </row>
    <row r="130" spans="1:26" ht="18" customHeight="1" x14ac:dyDescent="0.25">
      <c r="A130" s="120">
        <f t="shared" si="2"/>
        <v>34</v>
      </c>
      <c r="G130" s="131"/>
      <c r="H130" s="228">
        <f>H102</f>
        <v>2025</v>
      </c>
      <c r="I130" s="131"/>
      <c r="P130" s="122"/>
      <c r="Q130" s="122"/>
      <c r="S130" s="202"/>
      <c r="T130"/>
      <c r="U130"/>
      <c r="V130"/>
      <c r="W130"/>
      <c r="X130"/>
      <c r="Y130"/>
    </row>
    <row r="131" spans="1:26" ht="18" customHeight="1" x14ac:dyDescent="0.25">
      <c r="A131" s="120">
        <f t="shared" si="2"/>
        <v>35</v>
      </c>
      <c r="C131" s="178" t="s">
        <v>9</v>
      </c>
      <c r="D131" s="148"/>
      <c r="E131" s="148"/>
      <c r="F131" s="162">
        <f>+Cur_Period</f>
        <v>2025</v>
      </c>
      <c r="G131" s="228" t="str">
        <f>+IF($K$2="EN",Text!$B$61,Text!$C$61)</f>
        <v>Additions</v>
      </c>
      <c r="H131" s="228" t="str">
        <f>+IF($K$2="EN",Text!$B$62,Text!$C$62)</f>
        <v>AR/Decom.</v>
      </c>
      <c r="I131" s="228" t="s">
        <v>8</v>
      </c>
      <c r="J131" s="228" t="str">
        <f>+IF($K$2="EN",Text!$B$63,Text!$C$63)</f>
        <v>U/C</v>
      </c>
      <c r="L131" s="178" t="str">
        <f>+IF($K$2="EN",Text!$B$53,Text!$C$53)</f>
        <v>Project</v>
      </c>
      <c r="M131" s="178"/>
      <c r="N131" s="178"/>
      <c r="O131" s="203" t="str">
        <f>+IF($K$2="EN",Text!$B$54,Text!$C$54)</f>
        <v>Country</v>
      </c>
      <c r="P131" s="228"/>
      <c r="Q131" s="228" t="s">
        <v>9</v>
      </c>
      <c r="S131" s="133"/>
      <c r="T131"/>
      <c r="U131"/>
      <c r="V131"/>
      <c r="W131"/>
      <c r="X131"/>
      <c r="Y131"/>
    </row>
    <row r="132" spans="1:26" ht="18" customHeight="1" x14ac:dyDescent="0.25">
      <c r="A132" s="120">
        <f t="shared" si="2"/>
        <v>36</v>
      </c>
      <c r="C132" s="138" t="str">
        <f>+IF($K$2="EN",Text!$B$28,Text!$C$28)</f>
        <v>Spain</v>
      </c>
      <c r="D132" s="133"/>
      <c r="E132" s="133"/>
      <c r="F132" s="179"/>
      <c r="G132" s="180"/>
      <c r="H132" s="180"/>
      <c r="I132" s="181"/>
      <c r="J132" s="183"/>
      <c r="L132" s="133"/>
      <c r="O132" s="133"/>
      <c r="Q132" s="327"/>
      <c r="R132" s="208"/>
      <c r="S132" s="133"/>
      <c r="T132"/>
      <c r="U132"/>
      <c r="V132"/>
      <c r="W132"/>
      <c r="X132"/>
      <c r="Y132"/>
    </row>
    <row r="133" spans="1:26" ht="18" customHeight="1" x14ac:dyDescent="0.25">
      <c r="A133" s="120">
        <f t="shared" si="2"/>
        <v>37</v>
      </c>
      <c r="C133" s="138" t="str">
        <f>+IF($K$2="EN",Text!$B$29,Text!$C$29)</f>
        <v>Portugal</v>
      </c>
      <c r="D133" s="133"/>
      <c r="E133" s="133"/>
      <c r="F133" s="179"/>
      <c r="G133" s="180"/>
      <c r="H133" s="180"/>
      <c r="I133" s="181"/>
      <c r="J133" s="183"/>
      <c r="S133" s="204"/>
      <c r="T133"/>
      <c r="U133"/>
      <c r="V133"/>
      <c r="W133"/>
      <c r="X133"/>
      <c r="Y133"/>
    </row>
    <row r="134" spans="1:26" ht="18" customHeight="1" x14ac:dyDescent="0.25">
      <c r="A134" s="120">
        <f t="shared" si="2"/>
        <v>38</v>
      </c>
      <c r="C134" s="138" t="str">
        <f>+IF($K$2="EN",Text!$B$30,Text!$C$30)</f>
        <v>Rest of Europe</v>
      </c>
      <c r="D134" s="133"/>
      <c r="E134" s="133"/>
      <c r="F134" s="179"/>
      <c r="G134" s="180"/>
      <c r="H134" s="180"/>
      <c r="I134" s="181"/>
      <c r="J134" s="183"/>
      <c r="S134" s="133"/>
      <c r="T134"/>
      <c r="U134"/>
      <c r="V134"/>
      <c r="W134"/>
      <c r="X134"/>
      <c r="Y134"/>
    </row>
    <row r="135" spans="1:26" ht="18" customHeight="1" x14ac:dyDescent="0.25">
      <c r="A135" s="120">
        <f t="shared" si="2"/>
        <v>39</v>
      </c>
      <c r="C135" s="167" t="str">
        <f>+IF($K$2="EN",Text!$B$27,Text!$C$27)</f>
        <v>Europe</v>
      </c>
      <c r="D135" s="168"/>
      <c r="E135" s="168"/>
      <c r="F135" s="184" t="b">
        <f>+EN!F134=SUM(EN!F131:F133)</f>
        <v>1</v>
      </c>
      <c r="G135" s="180" t="b">
        <f>+EN!G134=SUM(EN!G131:G133)</f>
        <v>1</v>
      </c>
      <c r="H135" s="180" t="b">
        <f>+EN!H134=SUM(EN!H131:H133)</f>
        <v>1</v>
      </c>
      <c r="I135" s="181" t="b">
        <f>+EN!I134=SUM(EN!I131:I133)</f>
        <v>1</v>
      </c>
      <c r="J135" s="187" t="b">
        <f>+EN!J134=SUM(EN!J131:J133)</f>
        <v>1</v>
      </c>
      <c r="R135" s="208"/>
      <c r="S135" s="133"/>
      <c r="T135"/>
      <c r="U135"/>
      <c r="V135"/>
      <c r="W135"/>
      <c r="X135"/>
      <c r="Y135"/>
    </row>
    <row r="136" spans="1:26" ht="18" customHeight="1" x14ac:dyDescent="0.25">
      <c r="A136" s="120">
        <f t="shared" si="2"/>
        <v>40</v>
      </c>
      <c r="C136" s="138" t="str">
        <f>+IF($K$2="EN",Text!$B$35,Text!$C$35)</f>
        <v>US</v>
      </c>
      <c r="D136" s="133"/>
      <c r="E136" s="133"/>
      <c r="F136" s="179"/>
      <c r="G136" s="180"/>
      <c r="H136" s="180"/>
      <c r="I136" s="181"/>
      <c r="J136" s="183"/>
      <c r="S136" s="133"/>
      <c r="T136"/>
      <c r="U136"/>
      <c r="V136"/>
      <c r="W136"/>
      <c r="X136"/>
      <c r="Y136"/>
    </row>
    <row r="137" spans="1:26" ht="18" customHeight="1" x14ac:dyDescent="0.25">
      <c r="A137" s="120">
        <f t="shared" si="2"/>
        <v>41</v>
      </c>
      <c r="C137" s="138" t="str">
        <f>+IF($K$2="EN",Text!$B$38,Text!$C$38)</f>
        <v>Canada &amp; Mexico</v>
      </c>
      <c r="D137" s="133"/>
      <c r="E137" s="133"/>
      <c r="F137" s="179"/>
      <c r="G137" s="180"/>
      <c r="H137" s="180"/>
      <c r="I137" s="181"/>
      <c r="J137" s="183"/>
      <c r="S137" s="133"/>
      <c r="T137"/>
      <c r="U137"/>
      <c r="V137"/>
      <c r="W137"/>
      <c r="X137"/>
      <c r="Y137"/>
    </row>
    <row r="138" spans="1:26" ht="18" customHeight="1" x14ac:dyDescent="0.25">
      <c r="A138" s="120">
        <f t="shared" si="2"/>
        <v>42</v>
      </c>
      <c r="C138" s="167" t="str">
        <f>+IF($K$2="EN",Text!$B$34,Text!$C$34)</f>
        <v>North America</v>
      </c>
      <c r="D138" s="168"/>
      <c r="E138" s="168"/>
      <c r="F138" s="184" t="b">
        <f>EN!F137=SUM(EN!F135:F136)</f>
        <v>1</v>
      </c>
      <c r="G138" s="185" t="b">
        <f>EN!G137=SUM(EN!G135:G136)</f>
        <v>1</v>
      </c>
      <c r="H138" s="185" t="b">
        <f>EN!H137=SUM(EN!H135:H136)</f>
        <v>1</v>
      </c>
      <c r="I138" s="186" t="b">
        <f>EN!I137=SUM(EN!I135:I136)</f>
        <v>1</v>
      </c>
      <c r="J138" s="187" t="b">
        <f>EN!J137=SUM(EN!J135:J136)</f>
        <v>1</v>
      </c>
      <c r="S138" s="133"/>
      <c r="T138"/>
      <c r="U138"/>
      <c r="V138"/>
      <c r="W138"/>
      <c r="X138"/>
      <c r="Y138"/>
    </row>
    <row r="139" spans="1:26" ht="18" customHeight="1" x14ac:dyDescent="0.25">
      <c r="A139" s="120">
        <f t="shared" si="2"/>
        <v>43</v>
      </c>
      <c r="C139" s="138" t="str">
        <f>+IF($K$2="EN",Text!$B$41,Text!$C$41)</f>
        <v>Brazil</v>
      </c>
      <c r="D139" s="133"/>
      <c r="E139" s="133"/>
      <c r="F139" s="179"/>
      <c r="G139" s="180"/>
      <c r="H139" s="180"/>
      <c r="I139" s="181"/>
      <c r="J139" s="183"/>
      <c r="S139" s="133"/>
      <c r="T139"/>
      <c r="U139"/>
      <c r="V139"/>
      <c r="W139"/>
      <c r="X139"/>
      <c r="Y139"/>
      <c r="Z139"/>
    </row>
    <row r="140" spans="1:26" ht="18" customHeight="1" x14ac:dyDescent="0.25">
      <c r="A140" s="120">
        <f t="shared" si="2"/>
        <v>44</v>
      </c>
      <c r="C140" s="138" t="str">
        <f>+IF($K$2="EN",Text!$B$44,Text!$C$44)</f>
        <v>Chile</v>
      </c>
      <c r="D140" s="133"/>
      <c r="E140" s="133"/>
      <c r="F140" s="179"/>
      <c r="G140" s="180"/>
      <c r="H140" s="180"/>
      <c r="I140" s="181"/>
      <c r="J140" s="183"/>
      <c r="S140" s="205"/>
      <c r="T140"/>
      <c r="U140"/>
      <c r="V140"/>
      <c r="W140"/>
      <c r="X140"/>
      <c r="Y140"/>
      <c r="Z140"/>
    </row>
    <row r="141" spans="1:26" ht="18" customHeight="1" x14ac:dyDescent="0.25">
      <c r="A141" s="120">
        <f t="shared" si="2"/>
        <v>45</v>
      </c>
      <c r="C141" s="147" t="str">
        <f>+IF($K$2="EN",Text!$B$40,Text!$C$40)</f>
        <v>South America</v>
      </c>
      <c r="D141" s="178"/>
      <c r="E141" s="178"/>
      <c r="F141" s="169" t="b">
        <f>+EN!F140=SUM(EN!F138:F139)</f>
        <v>1</v>
      </c>
      <c r="G141" s="170" t="b">
        <f>+EN!G140=SUM(EN!G138:G139)</f>
        <v>1</v>
      </c>
      <c r="H141" s="170" t="b">
        <f>+EN!H140=SUM(EN!H138:H139)</f>
        <v>1</v>
      </c>
      <c r="I141" s="190" t="b">
        <f>+EN!I140=SUM(EN!I138:I139)</f>
        <v>1</v>
      </c>
      <c r="J141" s="198" t="b">
        <f>+EN!J140=SUM(EN!J138:J139)</f>
        <v>1</v>
      </c>
      <c r="T141"/>
      <c r="U141"/>
      <c r="V141"/>
      <c r="W141"/>
      <c r="X141"/>
      <c r="Y141"/>
      <c r="Z141"/>
    </row>
    <row r="142" spans="1:26" ht="18" customHeight="1" x14ac:dyDescent="0.25">
      <c r="A142" s="120">
        <f t="shared" si="2"/>
        <v>46</v>
      </c>
      <c r="C142" s="192" t="str">
        <f>+IF($K$2="EN",Text!$B$55,Text!$C$55)</f>
        <v>EBITDA MW</v>
      </c>
      <c r="D142" s="192"/>
      <c r="E142" s="192"/>
      <c r="F142" s="193" t="b">
        <f>+EN!F141=EN!F134+EN!F137+EN!F140</f>
        <v>1</v>
      </c>
      <c r="G142" s="194" t="b">
        <f>+EN!G141=EN!G134+EN!G137+EN!G140</f>
        <v>1</v>
      </c>
      <c r="H142" s="194" t="b">
        <f>+EN!H141=EN!H134+EN!H137+EN!H140</f>
        <v>1</v>
      </c>
      <c r="I142" s="195" t="b">
        <f>+EN!I141=EN!I134+EN!I137+EN!I140</f>
        <v>1</v>
      </c>
      <c r="J142" s="199" t="b">
        <f>+EN!J141=EN!J134+EN!J137+EN!J140</f>
        <v>1</v>
      </c>
      <c r="T142" s="310"/>
      <c r="U142"/>
      <c r="V142"/>
      <c r="W142"/>
      <c r="X142"/>
      <c r="Y142"/>
      <c r="Z142"/>
    </row>
    <row r="143" spans="1:26" ht="18" customHeight="1" x14ac:dyDescent="0.25">
      <c r="A143" s="120">
        <f t="shared" si="2"/>
        <v>47</v>
      </c>
      <c r="C143" s="138" t="str">
        <f>+IF($K$2="EN",Text!$B$28,Text!$C$28)</f>
        <v>Spain</v>
      </c>
      <c r="D143" s="133"/>
      <c r="E143" s="133"/>
      <c r="F143" s="179"/>
      <c r="G143" s="180"/>
      <c r="H143" s="180"/>
      <c r="I143" s="181"/>
      <c r="J143" s="183"/>
      <c r="T143"/>
      <c r="U143"/>
      <c r="V143"/>
      <c r="W143"/>
      <c r="X143"/>
      <c r="Y143"/>
      <c r="Z143"/>
    </row>
    <row r="144" spans="1:26" ht="18" customHeight="1" x14ac:dyDescent="0.25">
      <c r="A144" s="120">
        <f t="shared" si="2"/>
        <v>48</v>
      </c>
      <c r="C144" s="138" t="str">
        <f>+IF($K$2="EN",Text!$B$29,Text!$C$29)</f>
        <v>Portugal</v>
      </c>
      <c r="D144" s="133"/>
      <c r="E144" s="133"/>
      <c r="F144" s="179"/>
      <c r="G144" s="180"/>
      <c r="H144" s="180"/>
      <c r="I144" s="181"/>
      <c r="J144" s="183"/>
      <c r="S144" s="122"/>
      <c r="T144"/>
      <c r="U144"/>
      <c r="V144"/>
      <c r="W144"/>
      <c r="X144"/>
      <c r="Y144"/>
      <c r="Z144"/>
    </row>
    <row r="145" spans="1:26" ht="18" customHeight="1" x14ac:dyDescent="0.25">
      <c r="A145" s="120">
        <f t="shared" si="2"/>
        <v>49</v>
      </c>
      <c r="C145" s="167" t="str">
        <f>+IF($K$2="EN",Text!$B$27,Text!$C$27)</f>
        <v>Europe</v>
      </c>
      <c r="D145" s="168"/>
      <c r="E145" s="168"/>
      <c r="F145" s="184" t="b">
        <f>+EN!F144=EN!F142+EN!F143</f>
        <v>1</v>
      </c>
      <c r="G145" s="185" t="b">
        <f>+EN!G144=EN!G142+EN!G143</f>
        <v>1</v>
      </c>
      <c r="H145" s="185" t="b">
        <f>+EN!H144=EN!H142+EN!H143</f>
        <v>1</v>
      </c>
      <c r="I145" s="186" t="b">
        <f>+EN!I144=EN!I142+EN!I143</f>
        <v>1</v>
      </c>
      <c r="J145" s="209" t="b">
        <f>+EN!J144=EN!J142+EN!J143</f>
        <v>1</v>
      </c>
      <c r="S145" s="122"/>
      <c r="T145" s="292"/>
      <c r="U145"/>
      <c r="V145"/>
      <c r="W145"/>
      <c r="X145"/>
      <c r="Y145"/>
      <c r="Z145"/>
    </row>
    <row r="146" spans="1:26" ht="18" customHeight="1" x14ac:dyDescent="0.25">
      <c r="A146" s="120">
        <f t="shared" si="2"/>
        <v>50</v>
      </c>
      <c r="C146" s="138" t="str">
        <f>+IF($K$2="EN",Text!$B$39,Text!$C$39)</f>
        <v>US &amp; Canada</v>
      </c>
      <c r="D146" s="133"/>
      <c r="E146" s="133"/>
      <c r="F146" s="179"/>
      <c r="G146" s="180"/>
      <c r="H146" s="180"/>
      <c r="I146" s="181"/>
      <c r="J146" s="209"/>
      <c r="Q146" s="208"/>
      <c r="S146" s="122"/>
      <c r="T146"/>
      <c r="U146"/>
      <c r="V146"/>
      <c r="W146"/>
      <c r="X146"/>
      <c r="Y146"/>
      <c r="Z146"/>
    </row>
    <row r="147" spans="1:26" ht="18" customHeight="1" x14ac:dyDescent="0.25">
      <c r="A147" s="120">
        <f t="shared" si="2"/>
        <v>51</v>
      </c>
      <c r="C147" s="147" t="str">
        <f>+IF($K$2="EN",Text!$B$34,Text!$C$34)</f>
        <v>North America</v>
      </c>
      <c r="D147" s="178"/>
      <c r="E147" s="178"/>
      <c r="F147" s="169" t="b">
        <f>+EN!F146=EN!F145</f>
        <v>1</v>
      </c>
      <c r="G147" s="170" t="b">
        <f>+EN!G146=EN!G145</f>
        <v>1</v>
      </c>
      <c r="H147" s="170" t="b">
        <f>+EN!H146=EN!H145</f>
        <v>1</v>
      </c>
      <c r="I147" s="190" t="b">
        <f>+EN!I146=EN!I145</f>
        <v>1</v>
      </c>
      <c r="J147" s="210" t="b">
        <f>+EN!J146=EN!J145</f>
        <v>1</v>
      </c>
      <c r="Q147" s="208"/>
      <c r="S147" s="122"/>
      <c r="T147"/>
      <c r="U147"/>
      <c r="V147"/>
      <c r="W147"/>
      <c r="X147"/>
      <c r="Y147"/>
    </row>
    <row r="148" spans="1:26" ht="18" customHeight="1" x14ac:dyDescent="0.25">
      <c r="A148" s="120">
        <f t="shared" si="2"/>
        <v>52</v>
      </c>
      <c r="C148" s="192" t="str">
        <f>+IF($K$2="EN",Text!$B$56,Text!$C$56)</f>
        <v>Eq. Consolidated</v>
      </c>
      <c r="D148" s="192"/>
      <c r="E148" s="192"/>
      <c r="F148" s="193" t="b">
        <f>+EN!F147=EN!F144+EN!F146</f>
        <v>1</v>
      </c>
      <c r="G148" s="194" t="b">
        <f>+EN!G147=EN!G144+EN!G146</f>
        <v>1</v>
      </c>
      <c r="H148" s="194" t="b">
        <f>+EN!H147=EN!H144+EN!H146</f>
        <v>1</v>
      </c>
      <c r="I148" s="195" t="b">
        <f>+EN!I147=EN!I144+EN!I146</f>
        <v>1</v>
      </c>
      <c r="J148" s="199" t="b">
        <f>+EN!J147=EN!J144+EN!J146</f>
        <v>1</v>
      </c>
      <c r="L148" s="133"/>
      <c r="M148" s="272"/>
      <c r="N148" s="272"/>
      <c r="O148" s="272"/>
      <c r="P148" s="272"/>
      <c r="Q148" s="273"/>
      <c r="S148" s="122"/>
      <c r="T148" s="251"/>
      <c r="V148" s="289"/>
    </row>
    <row r="149" spans="1:26" ht="18" customHeight="1" x14ac:dyDescent="0.25">
      <c r="A149" s="120">
        <f t="shared" si="2"/>
        <v>53</v>
      </c>
      <c r="C149" s="157" t="str">
        <f>C37</f>
        <v>EDPR</v>
      </c>
      <c r="D149" s="157"/>
      <c r="E149" s="157"/>
      <c r="F149" s="193" t="b">
        <f>+EN!F148=EN!F147+EN!F141</f>
        <v>1</v>
      </c>
      <c r="G149" s="194" t="b">
        <f>+EN!G148=EN!G147+EN!G141</f>
        <v>1</v>
      </c>
      <c r="H149" s="194" t="b">
        <f>+EN!H148=EN!H147+EN!H141</f>
        <v>1</v>
      </c>
      <c r="I149" s="195" t="b">
        <f>+EN!I148=EN!I147+EN!I141</f>
        <v>1</v>
      </c>
      <c r="J149" s="199" t="b">
        <f>+EN!J148=EN!J147+EN!J141</f>
        <v>1</v>
      </c>
      <c r="L149" s="316" t="str">
        <f>+IF($K$2="EN",Text!$B$16,Text!$C$16)</f>
        <v>Onshore Wind Additions YTD</v>
      </c>
      <c r="M149" s="178"/>
      <c r="N149" s="178"/>
      <c r="O149" s="228"/>
      <c r="P149" s="171"/>
      <c r="Q149" s="304" t="b">
        <f>+EN!G141=EN!Q148</f>
        <v>1</v>
      </c>
      <c r="S149" s="122"/>
      <c r="T149"/>
      <c r="U149"/>
      <c r="V149"/>
      <c r="W149"/>
    </row>
    <row r="150" spans="1:26" ht="18" customHeight="1" x14ac:dyDescent="0.25">
      <c r="A150" s="120">
        <f t="shared" si="2"/>
        <v>54</v>
      </c>
      <c r="Q150" s="208"/>
      <c r="T150"/>
      <c r="U150"/>
      <c r="V150"/>
      <c r="W150"/>
    </row>
    <row r="151" spans="1:26" ht="18" customHeight="1" thickBot="1" x14ac:dyDescent="0.4">
      <c r="A151" s="120">
        <f t="shared" si="2"/>
        <v>55</v>
      </c>
      <c r="C151" s="144" t="str">
        <f>+IF($K$2="EN",Text!$B$22,Text!$C$22)</f>
        <v>Solar &amp; BESS</v>
      </c>
      <c r="D151" s="135"/>
      <c r="E151" s="135"/>
      <c r="F151" s="135"/>
      <c r="G151" s="135"/>
      <c r="H151" s="135"/>
      <c r="I151" s="135"/>
      <c r="J151" s="135"/>
      <c r="L151" s="134" t="str">
        <f>+IF($K$2="EN",Text!$B$15,Text!$C$15)</f>
        <v>Capacity Additions YTD</v>
      </c>
      <c r="M151" s="201"/>
      <c r="N151" s="201"/>
      <c r="O151" s="201"/>
      <c r="P151" s="201"/>
      <c r="Q151" s="317"/>
      <c r="T151"/>
      <c r="U151"/>
      <c r="V151"/>
      <c r="W151"/>
    </row>
    <row r="152" spans="1:26" ht="18" customHeight="1" x14ac:dyDescent="0.25">
      <c r="A152" s="120">
        <f t="shared" si="2"/>
        <v>56</v>
      </c>
      <c r="G152" s="131"/>
      <c r="H152" s="228">
        <f>H102</f>
        <v>2025</v>
      </c>
      <c r="I152" s="131"/>
      <c r="P152" s="122"/>
      <c r="Q152" s="318"/>
      <c r="T152"/>
      <c r="U152"/>
      <c r="V152"/>
      <c r="W152"/>
    </row>
    <row r="153" spans="1:26" ht="18" customHeight="1" x14ac:dyDescent="0.25">
      <c r="A153" s="120">
        <f t="shared" si="2"/>
        <v>57</v>
      </c>
      <c r="C153" s="178" t="s">
        <v>9</v>
      </c>
      <c r="D153" s="148"/>
      <c r="E153" s="148"/>
      <c r="F153" s="162">
        <f>+Cur_Period</f>
        <v>2025</v>
      </c>
      <c r="G153" s="228" t="str">
        <f>+IF($K$2="EN",Text!$B$61,Text!$C$61)</f>
        <v>Additions</v>
      </c>
      <c r="H153" s="228" t="str">
        <f>+IF($K$2="EN",Text!$B$62,Text!$C$62)</f>
        <v>AR/Decom.</v>
      </c>
      <c r="I153" s="228" t="s">
        <v>8</v>
      </c>
      <c r="J153" s="228" t="str">
        <f>+IF($K$2="EN",Text!$B$63,Text!$C$63)</f>
        <v>U/C</v>
      </c>
      <c r="L153" s="178" t="str">
        <f>+IF($K$2="EN",Text!$B$53,Text!$C$53)</f>
        <v>Project</v>
      </c>
      <c r="M153" s="178"/>
      <c r="N153" s="178"/>
      <c r="O153" s="178" t="str">
        <f>+IF($K$2="EN",Text!$B$54,Text!$C$54)</f>
        <v>Country</v>
      </c>
      <c r="P153" s="228"/>
      <c r="Q153" s="319" t="s">
        <v>9</v>
      </c>
      <c r="T153"/>
      <c r="U153"/>
      <c r="V153"/>
      <c r="W153"/>
    </row>
    <row r="154" spans="1:26" ht="18" customHeight="1" x14ac:dyDescent="0.25">
      <c r="A154" s="120">
        <f t="shared" si="2"/>
        <v>58</v>
      </c>
      <c r="C154" s="138" t="str">
        <f>+IF($K$2="EN",Text!$B$28,Text!$C$28)</f>
        <v>Spain</v>
      </c>
      <c r="D154" s="133"/>
      <c r="E154" s="133"/>
      <c r="F154" s="179"/>
      <c r="G154" s="180"/>
      <c r="H154" s="206"/>
      <c r="I154" s="207"/>
      <c r="J154" s="183"/>
      <c r="L154" s="133"/>
      <c r="O154" s="133"/>
      <c r="Q154" s="327"/>
      <c r="T154"/>
      <c r="U154"/>
      <c r="V154"/>
      <c r="W154"/>
    </row>
    <row r="155" spans="1:26" ht="18" customHeight="1" x14ac:dyDescent="0.25">
      <c r="A155" s="120">
        <f t="shared" si="2"/>
        <v>59</v>
      </c>
      <c r="C155" s="138" t="str">
        <f>+IF($K$2="EN",Text!$B$29,Text!$C$29)</f>
        <v>Portugal</v>
      </c>
      <c r="D155" s="133"/>
      <c r="E155" s="133"/>
      <c r="F155" s="179"/>
      <c r="G155" s="180"/>
      <c r="H155" s="206"/>
      <c r="I155" s="207"/>
      <c r="J155" s="183"/>
      <c r="L155" s="133"/>
      <c r="O155" s="133"/>
      <c r="Q155" s="327"/>
      <c r="T155"/>
      <c r="U155"/>
      <c r="V155"/>
      <c r="W155"/>
    </row>
    <row r="156" spans="1:26" ht="18" customHeight="1" x14ac:dyDescent="0.35">
      <c r="A156" s="120">
        <f t="shared" si="2"/>
        <v>60</v>
      </c>
      <c r="C156" s="138" t="str">
        <f>+IF($K$2="EN",Text!$B$30,Text!$C$30)</f>
        <v>Rest of Europe</v>
      </c>
      <c r="D156" s="133"/>
      <c r="E156" s="133"/>
      <c r="F156" s="179"/>
      <c r="G156" s="180"/>
      <c r="H156" s="180"/>
      <c r="I156" s="181"/>
      <c r="J156" s="183"/>
      <c r="L156" s="133"/>
      <c r="O156" s="133"/>
      <c r="Q156" s="327"/>
      <c r="S156" s="290"/>
      <c r="T156"/>
      <c r="U156"/>
      <c r="V156"/>
      <c r="W156"/>
    </row>
    <row r="157" spans="1:26" ht="18" customHeight="1" x14ac:dyDescent="0.35">
      <c r="A157" s="120">
        <f t="shared" si="2"/>
        <v>61</v>
      </c>
      <c r="C157" s="167" t="str">
        <f>+IF($K$2="EN",Text!$B$27,Text!$C$27)</f>
        <v>Europe</v>
      </c>
      <c r="D157" s="168"/>
      <c r="E157" s="168"/>
      <c r="F157" s="184" t="b">
        <f>+EN!F156=SUM(EN!F153:F155)</f>
        <v>1</v>
      </c>
      <c r="G157" s="185" t="b">
        <f>+EN!G156=SUM(EN!G153:G155)</f>
        <v>1</v>
      </c>
      <c r="H157" s="185" t="b">
        <f>+EN!H156=SUM(EN!H153:H155)</f>
        <v>1</v>
      </c>
      <c r="I157" s="186" t="b">
        <f>+EN!I156=SUM(EN!I153:I155)</f>
        <v>1</v>
      </c>
      <c r="J157" s="187" t="b">
        <f>+EN!J156=SUM(EN!J153:J155)</f>
        <v>1</v>
      </c>
      <c r="L157" s="133"/>
      <c r="O157" s="133"/>
      <c r="Q157" s="327"/>
      <c r="S157" s="290"/>
      <c r="T157"/>
      <c r="U157"/>
      <c r="V157"/>
      <c r="W157"/>
    </row>
    <row r="158" spans="1:26" ht="18" customHeight="1" x14ac:dyDescent="0.35">
      <c r="A158" s="120">
        <f t="shared" si="2"/>
        <v>62</v>
      </c>
      <c r="C158" s="138" t="str">
        <f>+IF($K$2="EN",Text!$B$35,Text!$C$35)</f>
        <v>US</v>
      </c>
      <c r="D158" s="133"/>
      <c r="E158" s="133"/>
      <c r="F158" s="179"/>
      <c r="G158" s="180"/>
      <c r="H158" s="180"/>
      <c r="I158" s="181"/>
      <c r="J158" s="183"/>
      <c r="L158" s="133"/>
      <c r="O158" s="133"/>
      <c r="Q158" s="327"/>
      <c r="S158" s="290"/>
      <c r="T158"/>
      <c r="U158"/>
      <c r="V158"/>
      <c r="W158"/>
    </row>
    <row r="159" spans="1:26" ht="18" customHeight="1" x14ac:dyDescent="0.35">
      <c r="A159" s="120">
        <f t="shared" si="2"/>
        <v>63</v>
      </c>
      <c r="B159" s="122"/>
      <c r="C159" s="138" t="str">
        <f>+IF($K$2="EN",Text!$B$38,Text!$C$38)</f>
        <v>Canada &amp; Mexico</v>
      </c>
      <c r="D159" s="133"/>
      <c r="E159" s="133"/>
      <c r="F159" s="179"/>
      <c r="G159" s="180"/>
      <c r="H159" s="180"/>
      <c r="I159" s="181"/>
      <c r="J159" s="183"/>
      <c r="L159" s="133"/>
      <c r="O159" s="133"/>
      <c r="P159" s="166"/>
      <c r="Q159" s="327"/>
      <c r="S159" s="290"/>
      <c r="T159"/>
      <c r="U159"/>
      <c r="V159"/>
      <c r="W159"/>
    </row>
    <row r="160" spans="1:26" ht="18" customHeight="1" x14ac:dyDescent="0.35">
      <c r="A160" s="120">
        <f t="shared" si="2"/>
        <v>64</v>
      </c>
      <c r="B160" s="122"/>
      <c r="C160" s="167" t="str">
        <f>+IF($K$2="EN",Text!$B$34,Text!$C$34)</f>
        <v>North America</v>
      </c>
      <c r="D160" s="168"/>
      <c r="E160" s="168"/>
      <c r="F160" s="184" t="b">
        <f>+ROUND(EN!F159,2)=ROUND(SUM(EN!F157:F158),2)</f>
        <v>1</v>
      </c>
      <c r="G160" s="185" t="b">
        <f>+EN!G159=SUM(EN!G157:G158)</f>
        <v>1</v>
      </c>
      <c r="H160" s="185" t="b">
        <f>+EN!H159=SUM(EN!H157:H158)</f>
        <v>1</v>
      </c>
      <c r="I160" s="186" t="b">
        <f>+EN!I159=SUM(EN!I157:I158)</f>
        <v>1</v>
      </c>
      <c r="J160" s="187" t="b">
        <f>+EN!J159=SUM(EN!J157:J158)</f>
        <v>1</v>
      </c>
      <c r="L160" s="133"/>
      <c r="O160" s="133"/>
      <c r="P160" s="166"/>
      <c r="Q160" s="327"/>
      <c r="S160" s="290"/>
      <c r="T160"/>
      <c r="U160"/>
      <c r="V160"/>
      <c r="W160"/>
    </row>
    <row r="161" spans="1:35" ht="18" customHeight="1" x14ac:dyDescent="0.35">
      <c r="A161" s="120">
        <f t="shared" si="2"/>
        <v>65</v>
      </c>
      <c r="B161" s="122"/>
      <c r="C161" s="138" t="str">
        <f>+IF($K$2="EN",Text!$B$41,Text!$C$41)</f>
        <v>Brazil</v>
      </c>
      <c r="F161" s="179"/>
      <c r="G161" s="180"/>
      <c r="H161" s="180"/>
      <c r="I161" s="181"/>
      <c r="J161" s="183"/>
      <c r="L161" s="133"/>
      <c r="O161" s="133"/>
      <c r="Q161" s="327"/>
      <c r="S161" s="290"/>
      <c r="T161"/>
      <c r="U161"/>
      <c r="V161"/>
      <c r="W161"/>
    </row>
    <row r="162" spans="1:35" ht="18" customHeight="1" x14ac:dyDescent="0.35">
      <c r="A162" s="120">
        <f t="shared" ref="A162:A187" si="3">A161+1</f>
        <v>66</v>
      </c>
      <c r="C162" s="138" t="str">
        <f>+IF($K$2="EN",Text!$B$44,Text!$C$44)</f>
        <v>Chile</v>
      </c>
      <c r="F162" s="179"/>
      <c r="G162" s="180"/>
      <c r="H162" s="180"/>
      <c r="I162" s="181"/>
      <c r="J162" s="183"/>
      <c r="L162" s="133"/>
      <c r="O162" s="133"/>
      <c r="Q162" s="327"/>
      <c r="R162" s="133"/>
      <c r="S162" s="290"/>
      <c r="T162"/>
      <c r="U162"/>
      <c r="V162"/>
      <c r="W162"/>
    </row>
    <row r="163" spans="1:35" ht="18" customHeight="1" x14ac:dyDescent="0.35">
      <c r="A163" s="120">
        <f t="shared" si="3"/>
        <v>67</v>
      </c>
      <c r="C163" s="167" t="str">
        <f>+IF($K$2="EN",Text!$B$40,Text!$C$40)</f>
        <v>South America</v>
      </c>
      <c r="F163" s="184" t="b">
        <f>+EN!F162=SUM(EN!F160:F161)</f>
        <v>1</v>
      </c>
      <c r="G163" s="185" t="b">
        <f>+EN!G162=SUM(EN!G160:G161)</f>
        <v>1</v>
      </c>
      <c r="H163" s="185" t="b">
        <f>+EN!H162=SUM(EN!H160:H161)</f>
        <v>1</v>
      </c>
      <c r="I163" s="186" t="b">
        <f>+EN!I162=SUM(EN!I160:I161)</f>
        <v>1</v>
      </c>
      <c r="J163" s="187" t="b">
        <f>+EN!J162=SUM(EN!J160:J161)</f>
        <v>1</v>
      </c>
      <c r="L163" s="133"/>
      <c r="O163" s="133"/>
      <c r="Q163" s="327"/>
      <c r="R163" s="133"/>
      <c r="S163" s="290"/>
      <c r="T163"/>
      <c r="U163"/>
      <c r="V163"/>
      <c r="W163"/>
      <c r="X163"/>
      <c r="Y163"/>
      <c r="Z163"/>
      <c r="AA163"/>
    </row>
    <row r="164" spans="1:35" ht="18" customHeight="1" x14ac:dyDescent="0.35">
      <c r="A164" s="120">
        <f t="shared" si="3"/>
        <v>68</v>
      </c>
      <c r="C164" s="138" t="str">
        <f>+IF($K$2="EN",Text!$B$47,Text!$C$47)</f>
        <v>Vietnam</v>
      </c>
      <c r="D164" s="133"/>
      <c r="E164" s="133"/>
      <c r="F164" s="179"/>
      <c r="G164" s="180"/>
      <c r="H164" s="180"/>
      <c r="I164" s="181"/>
      <c r="J164" s="183"/>
      <c r="L164" s="133"/>
      <c r="O164" s="133"/>
      <c r="Q164" s="327"/>
      <c r="S164" s="290"/>
      <c r="T164"/>
      <c r="U164"/>
      <c r="V164"/>
      <c r="W164"/>
      <c r="X164"/>
      <c r="Y164"/>
      <c r="Z164"/>
      <c r="AA164"/>
    </row>
    <row r="165" spans="1:35" ht="18" customHeight="1" x14ac:dyDescent="0.35">
      <c r="A165" s="120">
        <f t="shared" si="3"/>
        <v>69</v>
      </c>
      <c r="C165" s="138" t="str">
        <f>+IF($K$2="EN",Text!$B$48,Text!$C$48)</f>
        <v>Singapore</v>
      </c>
      <c r="F165" s="179"/>
      <c r="G165" s="180"/>
      <c r="H165" s="180"/>
      <c r="I165" s="181"/>
      <c r="J165" s="183"/>
      <c r="L165" s="133"/>
      <c r="O165" s="133"/>
      <c r="Q165" s="327"/>
      <c r="S165" s="290"/>
      <c r="T165"/>
      <c r="U165"/>
      <c r="V165"/>
      <c r="W165"/>
      <c r="X165"/>
      <c r="Y165"/>
      <c r="Z165"/>
      <c r="AA165"/>
    </row>
    <row r="166" spans="1:35" ht="18" customHeight="1" x14ac:dyDescent="0.35">
      <c r="A166" s="120">
        <f t="shared" si="3"/>
        <v>70</v>
      </c>
      <c r="C166" s="138" t="str">
        <f>+IF($K$2="EN",Text!$B$49,Text!$C$49)</f>
        <v>Rest of APAC</v>
      </c>
      <c r="F166" s="179"/>
      <c r="G166" s="180"/>
      <c r="H166" s="180"/>
      <c r="I166" s="181"/>
      <c r="J166" s="183"/>
      <c r="L166" s="133"/>
      <c r="M166" s="133"/>
      <c r="P166" s="133"/>
      <c r="Q166" s="214"/>
      <c r="S166" s="290"/>
      <c r="T166"/>
      <c r="U166"/>
      <c r="V166"/>
      <c r="W166"/>
    </row>
    <row r="167" spans="1:35" ht="18" customHeight="1" x14ac:dyDescent="0.35">
      <c r="A167" s="120">
        <f t="shared" si="3"/>
        <v>71</v>
      </c>
      <c r="C167" s="147" t="str">
        <f>+IF($K$2="EN",Text!$B$46,Text!$C$46)</f>
        <v>APAC</v>
      </c>
      <c r="D167" s="131"/>
      <c r="E167" s="131"/>
      <c r="F167" s="184" t="b">
        <f>+EN!F166=SUM(EN!F163:F165)</f>
        <v>1</v>
      </c>
      <c r="G167" s="170" t="b">
        <f>+EN!G166=SUM(EN!G163:G165)</f>
        <v>1</v>
      </c>
      <c r="H167" s="170" t="b">
        <f>+EN!H166=SUM(EN!H163:H165)</f>
        <v>1</v>
      </c>
      <c r="I167" s="190" t="b">
        <f>+EN!I166=SUM(EN!I163:I165)</f>
        <v>1</v>
      </c>
      <c r="J167" s="198" t="b">
        <f>+EN!J166=SUM(EN!J163:J165)</f>
        <v>1</v>
      </c>
      <c r="L167" s="133"/>
      <c r="Q167" s="214"/>
      <c r="S167" s="290"/>
      <c r="T167"/>
      <c r="U167"/>
      <c r="V167"/>
      <c r="W167"/>
    </row>
    <row r="168" spans="1:35" ht="18" customHeight="1" x14ac:dyDescent="0.35">
      <c r="A168" s="120">
        <f t="shared" si="3"/>
        <v>72</v>
      </c>
      <c r="C168" s="192" t="str">
        <f>+IF($K$2="EN",Text!$B$55,Text!$C$55)</f>
        <v>EBITDA MW</v>
      </c>
      <c r="D168" s="192"/>
      <c r="E168" s="192"/>
      <c r="F168" s="193" t="b">
        <f>+ROUND(EN!F167,2)=ROUND(EN!F156+EN!F159+EN!F162+EN!F166,2)</f>
        <v>1</v>
      </c>
      <c r="G168" s="194" t="b">
        <f>+EN!G167=EN!G156+EN!G159+EN!G162+EN!G166</f>
        <v>1</v>
      </c>
      <c r="H168" s="194" t="b">
        <f>+EN!H167=EN!H156+EN!H159+EN!H162+EN!H166</f>
        <v>1</v>
      </c>
      <c r="I168" s="195" t="b">
        <f>+EN!I167=EN!I156+EN!I159+EN!I162+EN!I166</f>
        <v>1</v>
      </c>
      <c r="J168" s="199" t="b">
        <f>+EN!J167=EN!J156+EN!J159+EN!J162+EN!J166</f>
        <v>1</v>
      </c>
      <c r="L168" s="133"/>
      <c r="Q168" s="214"/>
      <c r="S168" s="290"/>
      <c r="T168"/>
      <c r="U168"/>
      <c r="V168"/>
      <c r="W168"/>
    </row>
    <row r="169" spans="1:35" s="143" customFormat="1" ht="18" customHeight="1" x14ac:dyDescent="0.35">
      <c r="A169" s="120">
        <f t="shared" si="3"/>
        <v>73</v>
      </c>
      <c r="B169" s="121"/>
      <c r="C169" s="138" t="str">
        <f>+IF($K$2="EN",Text!$B$35,Text!$C$35)</f>
        <v>US</v>
      </c>
      <c r="D169" s="133"/>
      <c r="E169" s="133"/>
      <c r="F169" s="179"/>
      <c r="G169" s="180"/>
      <c r="H169" s="180"/>
      <c r="I169" s="181"/>
      <c r="J169" s="183"/>
      <c r="L169" s="133"/>
      <c r="N169" s="343"/>
      <c r="O169" s="133"/>
      <c r="Q169" s="214"/>
      <c r="S169" s="290"/>
      <c r="T169"/>
      <c r="U169"/>
      <c r="V169"/>
      <c r="W169"/>
      <c r="X169" s="121"/>
      <c r="Y169" s="121"/>
      <c r="Z169" s="121"/>
      <c r="AA169" s="121"/>
      <c r="AB169" s="121"/>
      <c r="AC169" s="121"/>
      <c r="AD169" s="121"/>
      <c r="AE169" s="121"/>
      <c r="AF169" s="121"/>
      <c r="AG169" s="121"/>
      <c r="AH169" s="121"/>
      <c r="AI169" s="121"/>
    </row>
    <row r="170" spans="1:35" ht="18" customHeight="1" x14ac:dyDescent="0.35">
      <c r="A170" s="120">
        <f t="shared" si="3"/>
        <v>74</v>
      </c>
      <c r="B170" s="143"/>
      <c r="C170" s="167" t="str">
        <f>+IF($K$2="EN",Text!$B$34,Text!$C$34)</f>
        <v>North America</v>
      </c>
      <c r="D170" s="168"/>
      <c r="E170" s="168"/>
      <c r="F170" s="184" t="b">
        <f>+EN!F169=EN!F168</f>
        <v>1</v>
      </c>
      <c r="G170" s="185" t="b">
        <f>+EN!G169=EN!G168</f>
        <v>1</v>
      </c>
      <c r="H170" s="185" t="b">
        <f>+EN!H169=EN!H168</f>
        <v>1</v>
      </c>
      <c r="I170" s="186" t="b">
        <f>+EN!I169=EN!I168</f>
        <v>1</v>
      </c>
      <c r="J170" s="187" t="b">
        <f>+EN!J169=EN!J168</f>
        <v>1</v>
      </c>
      <c r="L170" s="133"/>
      <c r="M170" s="143"/>
      <c r="N170" s="143"/>
      <c r="O170" s="133"/>
      <c r="P170" s="143"/>
      <c r="Q170" s="214"/>
      <c r="S170" s="290"/>
      <c r="T170"/>
      <c r="U170"/>
      <c r="V170"/>
      <c r="W170"/>
      <c r="X170" s="143"/>
      <c r="Y170" s="143"/>
      <c r="Z170" s="143"/>
      <c r="AA170" s="143"/>
      <c r="AB170" s="143"/>
      <c r="AC170" s="143"/>
      <c r="AD170" s="143"/>
      <c r="AE170" s="143"/>
      <c r="AF170" s="143"/>
      <c r="AG170" s="143"/>
      <c r="AH170" s="143"/>
      <c r="AI170" s="143"/>
    </row>
    <row r="171" spans="1:35" ht="18" customHeight="1" x14ac:dyDescent="0.35">
      <c r="A171" s="120">
        <f t="shared" si="3"/>
        <v>75</v>
      </c>
      <c r="C171" s="147" t="str">
        <f>+IF($K$2="EN",Text!$B$46,Text!$C$46)</f>
        <v>APAC</v>
      </c>
      <c r="D171" s="131"/>
      <c r="E171" s="131"/>
      <c r="F171" s="169"/>
      <c r="G171" s="170"/>
      <c r="H171" s="170"/>
      <c r="I171" s="190"/>
      <c r="J171" s="198"/>
      <c r="L171" s="133"/>
      <c r="O171" s="133"/>
      <c r="P171" s="166"/>
      <c r="Q171" s="214"/>
      <c r="R171" s="143"/>
      <c r="S171" s="290"/>
      <c r="T171"/>
      <c r="U171"/>
      <c r="V171"/>
      <c r="W171"/>
    </row>
    <row r="172" spans="1:35" ht="18" customHeight="1" x14ac:dyDescent="0.35">
      <c r="A172" s="120">
        <f t="shared" si="3"/>
        <v>76</v>
      </c>
      <c r="C172" s="192" t="str">
        <f>+IF($K$2="EN",Text!$B$56,Text!$C$56)</f>
        <v>Eq. Consolidated</v>
      </c>
      <c r="D172" s="192"/>
      <c r="E172" s="192"/>
      <c r="F172" s="193" t="b">
        <f>+EN!F171=EN!F169+EN!F170</f>
        <v>1</v>
      </c>
      <c r="G172" s="194" t="b">
        <f>+EN!G171=EN!G169+EN!G170</f>
        <v>1</v>
      </c>
      <c r="H172" s="194" t="b">
        <f>+EN!H171=EN!H169+EN!H170</f>
        <v>1</v>
      </c>
      <c r="I172" s="195" t="b">
        <f>+EN!I171=EN!I169+EN!I170</f>
        <v>1</v>
      </c>
      <c r="J172" s="199" t="b">
        <f>+EN!J171=EN!J169+EN!J170</f>
        <v>1</v>
      </c>
      <c r="K172" s="143"/>
      <c r="L172" s="133"/>
      <c r="O172" s="133"/>
      <c r="P172" s="166"/>
      <c r="Q172" s="214"/>
      <c r="S172" s="290"/>
      <c r="T172"/>
      <c r="U172"/>
      <c r="V172"/>
      <c r="W172"/>
    </row>
    <row r="173" spans="1:35" ht="18" customHeight="1" x14ac:dyDescent="0.35">
      <c r="A173" s="120">
        <f t="shared" si="3"/>
        <v>77</v>
      </c>
      <c r="B173" s="143"/>
      <c r="C173" s="157" t="str">
        <f>C37</f>
        <v>EDPR</v>
      </c>
      <c r="D173" s="157"/>
      <c r="E173" s="157"/>
      <c r="F173" s="193" t="b">
        <f>+EN!F172=EN!F167+EN!F171</f>
        <v>1</v>
      </c>
      <c r="G173" s="194" t="b">
        <f>+EN!G172=EN!G167+EN!G171</f>
        <v>1</v>
      </c>
      <c r="H173" s="194" t="b">
        <f>+EN!H172=EN!H167+EN!H171</f>
        <v>1</v>
      </c>
      <c r="I173" s="195" t="b">
        <f>+EN!I172=EN!I167+EN!I171</f>
        <v>1</v>
      </c>
      <c r="J173" s="199" t="b">
        <f>+EN!J172=EN!J167+EN!J171</f>
        <v>1</v>
      </c>
      <c r="L173" s="157" t="str">
        <f>+IF($K$2="EN",Text!$B$17,Text!$C$17)</f>
        <v>Solar Additions YTD</v>
      </c>
      <c r="M173" s="157"/>
      <c r="N173" s="157"/>
      <c r="O173" s="211"/>
      <c r="P173" s="212"/>
      <c r="Q173" s="304" t="b">
        <f>+EN!Q172=EN!G172</f>
        <v>0</v>
      </c>
      <c r="S173" s="290"/>
      <c r="T173"/>
      <c r="U173"/>
      <c r="V173"/>
      <c r="W173"/>
    </row>
    <row r="174" spans="1:35" ht="18" customHeight="1" x14ac:dyDescent="0.35">
      <c r="A174" s="120">
        <f t="shared" si="3"/>
        <v>78</v>
      </c>
      <c r="C174" s="143"/>
      <c r="D174" s="143"/>
      <c r="E174" s="143"/>
      <c r="F174" s="143"/>
      <c r="G174" s="143"/>
      <c r="H174" s="143"/>
      <c r="I174" s="143"/>
      <c r="J174" s="321"/>
      <c r="S174" s="290"/>
      <c r="T174"/>
      <c r="U174"/>
      <c r="V174"/>
      <c r="W174"/>
    </row>
    <row r="175" spans="1:35" ht="18" customHeight="1" thickBot="1" x14ac:dyDescent="0.4">
      <c r="A175" s="120">
        <f t="shared" si="3"/>
        <v>79</v>
      </c>
      <c r="C175" s="144" t="str">
        <f>+IF($K$2="EN",Text!$B$23,Text!$C$23)</f>
        <v>Offshore Wind</v>
      </c>
      <c r="D175" s="135"/>
      <c r="E175" s="135"/>
      <c r="F175" s="135"/>
      <c r="G175" s="135"/>
      <c r="H175" s="135"/>
      <c r="I175" s="135"/>
      <c r="J175" s="135"/>
      <c r="L175" s="134" t="str">
        <f>+IF($K$2="EN",Text!$B$15,Text!$C$15)</f>
        <v>Capacity Additions YTD</v>
      </c>
      <c r="M175" s="201"/>
      <c r="N175" s="201"/>
      <c r="O175" s="201"/>
      <c r="P175" s="201"/>
      <c r="Q175" s="201"/>
      <c r="T175"/>
      <c r="U175"/>
      <c r="V175"/>
      <c r="W175"/>
    </row>
    <row r="176" spans="1:35" ht="18" customHeight="1" x14ac:dyDescent="0.25">
      <c r="A176" s="120">
        <f t="shared" si="3"/>
        <v>80</v>
      </c>
      <c r="G176" s="131"/>
      <c r="H176" s="228">
        <f>H102</f>
        <v>2025</v>
      </c>
      <c r="I176" s="131"/>
      <c r="L176" s="122"/>
      <c r="M176" s="122"/>
      <c r="N176" s="122"/>
      <c r="O176" s="122"/>
      <c r="P176" s="122"/>
      <c r="Q176" s="122"/>
      <c r="T176"/>
      <c r="U176"/>
      <c r="V176"/>
      <c r="W176"/>
    </row>
    <row r="177" spans="1:23" ht="18" customHeight="1" x14ac:dyDescent="0.25">
      <c r="A177" s="120">
        <f t="shared" si="3"/>
        <v>81</v>
      </c>
      <c r="C177" s="178" t="s">
        <v>9</v>
      </c>
      <c r="D177" s="148"/>
      <c r="E177" s="148"/>
      <c r="F177" s="162">
        <f>+Cur_Period</f>
        <v>2025</v>
      </c>
      <c r="G177" s="228" t="str">
        <f>+IF($K$2="EN",Text!$B$61,Text!$C$61)</f>
        <v>Additions</v>
      </c>
      <c r="H177" s="228" t="str">
        <f>+IF($K$2="EN",Text!$B$62,Text!$C$62)</f>
        <v>AR/Decom.</v>
      </c>
      <c r="I177" s="228" t="s">
        <v>8</v>
      </c>
      <c r="J177" s="228" t="str">
        <f>+IF($K$2="EN",Text!$B$63,Text!$C$63)</f>
        <v>U/C</v>
      </c>
      <c r="L177" s="178" t="str">
        <f>+IF($K$2="EN",Text!$B$53,Text!$C$53)</f>
        <v>Project</v>
      </c>
      <c r="M177" s="178"/>
      <c r="N177" s="178"/>
      <c r="O177" s="178" t="str">
        <f>+IF($K$2="EN",Text!$B$54,Text!$C$54)</f>
        <v>Country</v>
      </c>
      <c r="P177" s="228"/>
      <c r="Q177" s="319" t="s">
        <v>9</v>
      </c>
      <c r="T177"/>
      <c r="U177"/>
      <c r="V177"/>
      <c r="W177"/>
    </row>
    <row r="178" spans="1:23" ht="18" customHeight="1" x14ac:dyDescent="0.25">
      <c r="A178" s="120">
        <f t="shared" si="3"/>
        <v>82</v>
      </c>
      <c r="C178" s="138" t="str">
        <f>+IF($K$2="EN",Text!$B$29,Text!$C$29)</f>
        <v>Portugal</v>
      </c>
      <c r="D178" s="133"/>
      <c r="E178" s="133"/>
      <c r="F178" s="297"/>
      <c r="G178" s="180"/>
      <c r="H178" s="180"/>
      <c r="I178" s="181"/>
      <c r="J178" s="183"/>
      <c r="L178" s="122"/>
      <c r="M178" s="122"/>
      <c r="N178" s="122"/>
      <c r="O178" s="122"/>
      <c r="P178" s="122"/>
      <c r="Q178" s="122"/>
      <c r="T178"/>
      <c r="U178"/>
      <c r="V178"/>
      <c r="W178"/>
    </row>
    <row r="179" spans="1:23" ht="18" customHeight="1" x14ac:dyDescent="0.25">
      <c r="A179" s="120">
        <f t="shared" si="3"/>
        <v>83</v>
      </c>
      <c r="C179" s="138" t="str">
        <f>+IF($K$2="EN",Text!$B$31,Text!$C$31)</f>
        <v>France &amp; Belgium</v>
      </c>
      <c r="D179" s="133"/>
      <c r="E179" s="133"/>
      <c r="F179" s="179"/>
      <c r="G179" s="180"/>
      <c r="H179" s="180"/>
      <c r="I179" s="181"/>
      <c r="J179" s="298"/>
      <c r="L179" s="133"/>
      <c r="M179" s="133"/>
      <c r="N179" s="133"/>
      <c r="O179" s="213"/>
      <c r="P179" s="133"/>
      <c r="Q179" s="214"/>
      <c r="T179"/>
      <c r="U179"/>
      <c r="V179"/>
      <c r="W179"/>
    </row>
    <row r="180" spans="1:23" ht="18" customHeight="1" x14ac:dyDescent="0.25">
      <c r="A180" s="120">
        <f t="shared" si="3"/>
        <v>84</v>
      </c>
      <c r="C180" s="138" t="str">
        <f>+IF($K$2="EN",Text!$B$32,Text!$C$32)</f>
        <v>United Kingdom</v>
      </c>
      <c r="D180" s="133"/>
      <c r="E180" s="133"/>
      <c r="F180" s="179"/>
      <c r="G180" s="180"/>
      <c r="H180" s="180"/>
      <c r="I180" s="181"/>
      <c r="J180" s="183"/>
      <c r="L180" s="133"/>
      <c r="M180" s="133"/>
      <c r="N180" s="133"/>
      <c r="O180" s="213"/>
      <c r="P180" s="133"/>
      <c r="Q180" s="214"/>
      <c r="T180"/>
      <c r="U180"/>
      <c r="V180"/>
      <c r="W180"/>
    </row>
    <row r="181" spans="1:23" ht="18" customHeight="1" x14ac:dyDescent="0.25">
      <c r="A181" s="120">
        <f t="shared" si="3"/>
        <v>85</v>
      </c>
      <c r="C181" s="147" t="str">
        <f>+IF($K$2="EN",Text!$B$27,Text!$C$27)</f>
        <v>Europe</v>
      </c>
      <c r="D181" s="178"/>
      <c r="E181" s="178"/>
      <c r="F181" s="169" t="b">
        <f>+EN!F181=SUM(EN!F177:F179)</f>
        <v>1</v>
      </c>
      <c r="G181" s="170" t="b">
        <f>+EN!G181=SUM(EN!G177:G179)</f>
        <v>1</v>
      </c>
      <c r="H181" s="170" t="b">
        <f>+EN!H181=SUM(EN!H177:H179)</f>
        <v>1</v>
      </c>
      <c r="I181" s="190" t="b">
        <f>+EN!I181=SUM(EN!I177:I179)</f>
        <v>1</v>
      </c>
      <c r="J181" s="198" t="b">
        <f>+EN!J181=SUM(EN!J177:J180)</f>
        <v>1</v>
      </c>
      <c r="L181" s="131"/>
      <c r="M181" s="131"/>
      <c r="N181" s="131"/>
      <c r="O181" s="131"/>
      <c r="P181" s="131"/>
      <c r="Q181" s="131"/>
      <c r="T181"/>
      <c r="U181"/>
      <c r="V181"/>
      <c r="W181"/>
    </row>
    <row r="182" spans="1:23" ht="18" customHeight="1" x14ac:dyDescent="0.25">
      <c r="A182" s="120">
        <f t="shared" si="3"/>
        <v>86</v>
      </c>
      <c r="C182" s="192" t="str">
        <f>+IF($K$2="EN",Text!$B$57,Text!$C$57)</f>
        <v>EDPR Eq. Consolidated</v>
      </c>
      <c r="D182" s="192"/>
      <c r="E182" s="192"/>
      <c r="F182" s="193" t="b">
        <f>+EN!F182=EN!F181</f>
        <v>1</v>
      </c>
      <c r="G182" s="194" t="b">
        <f>+EN!G182=EN!G181</f>
        <v>1</v>
      </c>
      <c r="H182" s="194" t="b">
        <f>+EN!H182=EN!H181</f>
        <v>1</v>
      </c>
      <c r="I182" s="195" t="b">
        <f>+EN!I182=EN!I181</f>
        <v>1</v>
      </c>
      <c r="J182" s="199" t="b">
        <f>+EN!J182=EN!J181</f>
        <v>1</v>
      </c>
      <c r="L182" s="157" t="str">
        <f>+IF($K$2="EN",Text!$B$18,Text!$C$18)</f>
        <v>Offshore Wind Additions YTD</v>
      </c>
      <c r="M182" s="157"/>
      <c r="N182" s="157"/>
      <c r="O182" s="211"/>
      <c r="P182" s="212"/>
      <c r="Q182" s="199" t="b">
        <f>EN!Q182=EN!G182</f>
        <v>1</v>
      </c>
      <c r="T182"/>
      <c r="U182"/>
      <c r="V182"/>
      <c r="W182"/>
    </row>
    <row r="183" spans="1:23" ht="18" customHeight="1" x14ac:dyDescent="0.25">
      <c r="A183" s="120">
        <f t="shared" si="3"/>
        <v>87</v>
      </c>
      <c r="C183" s="157" t="str">
        <f>+IF($K$2="EN",Text!$B$59,Text!$C$59)</f>
        <v>Ocean Winds Gross Capacity</v>
      </c>
      <c r="D183" s="157"/>
      <c r="E183" s="157"/>
      <c r="F183" s="193"/>
      <c r="G183" s="194"/>
      <c r="H183" s="304"/>
      <c r="I183" s="195"/>
      <c r="J183" s="199"/>
      <c r="L183" s="157" t="str">
        <f>+IF($K$2="EN",Text!$B$19,Text!$C$19)</f>
        <v>Offshore Wind Gross Additions YTD</v>
      </c>
      <c r="M183" s="157"/>
      <c r="N183" s="157"/>
      <c r="O183" s="211"/>
      <c r="P183" s="212"/>
      <c r="Q183" s="199" t="b">
        <f>EN!Q183=EN!G183</f>
        <v>1</v>
      </c>
      <c r="T183"/>
      <c r="U183"/>
      <c r="V183"/>
      <c r="W183"/>
    </row>
    <row r="184" spans="1:23" ht="18" customHeight="1" x14ac:dyDescent="0.25">
      <c r="A184" s="120">
        <f t="shared" si="3"/>
        <v>88</v>
      </c>
      <c r="D184" s="143"/>
      <c r="E184" s="143"/>
      <c r="F184" s="143"/>
      <c r="G184" s="143"/>
      <c r="H184" s="143"/>
      <c r="I184" s="143"/>
      <c r="J184" s="143"/>
      <c r="T184"/>
      <c r="U184"/>
      <c r="V184"/>
      <c r="W184"/>
    </row>
    <row r="185" spans="1:23" ht="18" customHeight="1" x14ac:dyDescent="0.25">
      <c r="A185" s="120">
        <f t="shared" si="3"/>
        <v>89</v>
      </c>
      <c r="C185" s="121" t="str">
        <f>+IF($K$2="EN",Text!$B$67,Text!$C$67)</f>
        <v xml:space="preserve">(1) Portfolio Equity adj. (2) Project transferred to EDP Produçao. (3) Adj. from 9M25 ODP from Equity to EBITDA. (4) Addition considers 50/61 turbines installed, remaining capacity will be added in 2026. (5) YTD variation considers </v>
      </c>
      <c r="T185"/>
      <c r="U185"/>
      <c r="V185"/>
      <c r="W185"/>
    </row>
    <row r="186" spans="1:23" ht="18" customHeight="1" x14ac:dyDescent="0.25">
      <c r="A186" s="120">
        <f t="shared" si="3"/>
        <v>90</v>
      </c>
      <c r="C186" s="121" t="e">
        <f>+IF($K$2="EN",Text!#REF!,Text!#REF!)</f>
        <v>#REF!</v>
      </c>
      <c r="N186" s="616" t="str">
        <f>+IF($K$2="EN",Text!$B$72,Text!$C$72)</f>
        <v>EDPR Investor Relations</v>
      </c>
      <c r="O186" s="616"/>
      <c r="P186" s="616"/>
      <c r="Q186" s="255" t="str">
        <f>+IF($K$2="EN",Text!$B$73,Text!$C$73)</f>
        <v>Phone: +34 900 830 004</v>
      </c>
      <c r="R186" s="229"/>
      <c r="T186"/>
      <c r="U186"/>
      <c r="V186"/>
      <c r="W186"/>
    </row>
    <row r="187" spans="1:23" ht="18" customHeight="1" x14ac:dyDescent="0.25">
      <c r="A187" s="120">
        <f t="shared" si="3"/>
        <v>91</v>
      </c>
      <c r="C187" s="175" t="str">
        <f>+IF($K$2="EN",Text!$B$76,Text!$C$76)</f>
        <v>EDP Renováveis, S.A. | Head office: Plaza del Fresno, 2 - 33007 Oviedo, Spain</v>
      </c>
      <c r="O187" s="617" t="str">
        <f>+IF($K$2="EN",Text!$B$75,Text!$C$75)</f>
        <v>Site: www.edpr-investors.com</v>
      </c>
      <c r="P187" s="617"/>
      <c r="Q187" s="255" t="str">
        <f>+IF($K$2="EN",Text!$B$74,Text!$C$74)</f>
        <v>Email: ir@edpr.com</v>
      </c>
      <c r="T187"/>
      <c r="U187"/>
      <c r="V187"/>
      <c r="W187"/>
    </row>
    <row r="188" spans="1:23" ht="18" customHeight="1" x14ac:dyDescent="0.25">
      <c r="T188"/>
      <c r="U188"/>
      <c r="V188"/>
      <c r="W188"/>
    </row>
    <row r="189" spans="1:23" ht="18" customHeight="1" x14ac:dyDescent="0.25">
      <c r="T189"/>
      <c r="U189"/>
      <c r="V189"/>
      <c r="W189"/>
    </row>
    <row r="190" spans="1:23" ht="18" customHeight="1" x14ac:dyDescent="0.25">
      <c r="T190"/>
      <c r="U190"/>
      <c r="V190"/>
      <c r="W190"/>
    </row>
    <row r="191" spans="1:23" ht="18" customHeight="1" x14ac:dyDescent="0.25">
      <c r="T191"/>
      <c r="U191"/>
      <c r="V191"/>
      <c r="W191"/>
    </row>
    <row r="192" spans="1:23" ht="18" customHeight="1" x14ac:dyDescent="0.25">
      <c r="I192" s="133"/>
      <c r="J192" s="133"/>
      <c r="L192" s="133"/>
    </row>
    <row r="193" spans="8:12" ht="18" customHeight="1" x14ac:dyDescent="0.25">
      <c r="H193" s="133"/>
      <c r="I193" s="133"/>
      <c r="J193" s="133"/>
      <c r="K193" s="215"/>
      <c r="L193" s="133"/>
    </row>
    <row r="194" spans="8:12" ht="18" customHeight="1" x14ac:dyDescent="0.25">
      <c r="I194" s="133"/>
      <c r="J194" s="133"/>
      <c r="L194" s="133"/>
    </row>
    <row r="195" spans="8:12" ht="18" customHeight="1" x14ac:dyDescent="0.25">
      <c r="I195" s="133"/>
      <c r="J195" s="133"/>
      <c r="K195" s="216"/>
      <c r="L195" s="133"/>
    </row>
  </sheetData>
  <mergeCells count="16">
    <mergeCell ref="K2:K4"/>
    <mergeCell ref="M2:M4"/>
    <mergeCell ref="N2:N4"/>
    <mergeCell ref="L30:Q30"/>
    <mergeCell ref="N37:O39"/>
    <mergeCell ref="I46:J46"/>
    <mergeCell ref="N109:O111"/>
    <mergeCell ref="N186:P186"/>
    <mergeCell ref="O187:P187"/>
    <mergeCell ref="L67:N67"/>
    <mergeCell ref="O67:Q67"/>
    <mergeCell ref="N95:P95"/>
    <mergeCell ref="Q95:R95"/>
    <mergeCell ref="O96:P96"/>
    <mergeCell ref="L101:Q101"/>
    <mergeCell ref="M55:O56"/>
  </mergeCells>
  <pageMargins left="0" right="0" top="0" bottom="0" header="0" footer="0.43307086614173201"/>
  <pageSetup paperSize="9" scale="45" fitToHeight="0" orientation="portrait" r:id="rId1"/>
  <headerFooter scaleWithDoc="0" alignWithMargins="0"/>
  <rowBreaks count="1" manualBreakCount="1">
    <brk id="96" min="1"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074f86-5091-4287-b4e0-7f306bedb529">
      <Terms xmlns="http://schemas.microsoft.com/office/infopath/2007/PartnerControls"/>
    </lcf76f155ced4ddcb4097134ff3c332f>
    <TaxCatchAll xmlns="d0512000-6185-40db-a99b-df4569ba54a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80BB804E28ADEA4EB497DECC40E44022" ma:contentTypeVersion="21" ma:contentTypeDescription="Create a new document." ma:contentTypeScope="" ma:versionID="2208fbbac016dc938ea74c6c9b3c3128">
  <xsd:schema xmlns:xsd="http://www.w3.org/2001/XMLSchema" xmlns:xs="http://www.w3.org/2001/XMLSchema" xmlns:p="http://schemas.microsoft.com/office/2006/metadata/properties" xmlns:ns1="http://schemas.microsoft.com/sharepoint/v3" xmlns:ns2="d4074f86-5091-4287-b4e0-7f306bedb529" xmlns:ns3="d0512000-6185-40db-a99b-df4569ba54ae" targetNamespace="http://schemas.microsoft.com/office/2006/metadata/properties" ma:root="true" ma:fieldsID="01c43eb74be59659e5e4ab7506f57a7c" ns1:_="" ns2:_="" ns3:_="">
    <xsd:import namespace="http://schemas.microsoft.com/sharepoint/v3"/>
    <xsd:import namespace="d4074f86-5091-4287-b4e0-7f306bedb529"/>
    <xsd:import namespace="d0512000-6185-40db-a99b-df4569ba5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074f86-5091-4287-b4e0-7f306bed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12000-6185-40db-a99b-df4569ba54a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db5a65-4870-4ebc-a012-792de8b02458}" ma:internalName="TaxCatchAll" ma:showField="CatchAllData" ma:web="d0512000-6185-40db-a99b-df4569ba5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C9404-3BA1-4B64-896B-779F04FB4BA6}">
  <ds:schemaRefs>
    <ds:schemaRef ds:uri="http://schemas.microsoft.com/office/2006/documentManagement/types"/>
    <ds:schemaRef ds:uri="http://schemas.microsoft.com/office/infopath/2007/PartnerControls"/>
    <ds:schemaRef ds:uri="http://schemas.microsoft.com/office/2006/metadata/properties"/>
    <ds:schemaRef ds:uri="d4074f86-5091-4287-b4e0-7f306bedb529"/>
    <ds:schemaRef ds:uri="http://www.w3.org/XML/1998/namespace"/>
    <ds:schemaRef ds:uri="http://schemas.openxmlformats.org/package/2006/metadata/core-properties"/>
    <ds:schemaRef ds:uri="d0512000-6185-40db-a99b-df4569ba54ae"/>
    <ds:schemaRef ds:uri="http://schemas.microsoft.com/sharepoint/v3"/>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BF403F3C-EE32-4AF9-9D69-ED0C093DCCAC}">
  <ds:schemaRefs>
    <ds:schemaRef ds:uri="http://schemas.microsoft.com/sharepoint/v3/contenttype/forms"/>
  </ds:schemaRefs>
</ds:datastoreItem>
</file>

<file path=customXml/itemProps3.xml><?xml version="1.0" encoding="utf-8"?>
<ds:datastoreItem xmlns:ds="http://schemas.openxmlformats.org/officeDocument/2006/customXml" ds:itemID="{417C91B3-544C-4A1A-8A06-8A7E2A9874C4}">
  <ds:schemaRefs>
    <ds:schemaRef ds:uri="http://schemas.microsoft.com/PowerBIAddIn"/>
  </ds:schemaRefs>
</ds:datastoreItem>
</file>

<file path=customXml/itemProps4.xml><?xml version="1.0" encoding="utf-8"?>
<ds:datastoreItem xmlns:ds="http://schemas.openxmlformats.org/officeDocument/2006/customXml" ds:itemID="{698D40A0-1B7C-4EDA-B779-C5B3537C0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074f86-5091-4287-b4e0-7f306bedb529"/>
    <ds:schemaRef ds:uri="d0512000-6185-40db-a99b-df4569ba5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EN</vt:lpstr>
      <vt:lpstr>PT</vt:lpstr>
      <vt:lpstr>Charts</vt:lpstr>
      <vt:lpstr>Text</vt:lpstr>
      <vt:lpstr>Check</vt:lpstr>
      <vt:lpstr>Checks</vt:lpstr>
      <vt:lpstr>Checks!Cur_Period</vt:lpstr>
      <vt:lpstr>EN!Cur_Period</vt:lpstr>
      <vt:lpstr>PT!Cur_Period</vt:lpstr>
      <vt:lpstr>Checks!Cur_Year</vt:lpstr>
      <vt:lpstr>PT!Cur_Year</vt:lpstr>
      <vt:lpstr>Cur_Year</vt:lpstr>
      <vt:lpstr>Checks!Pre_Period</vt:lpstr>
      <vt:lpstr>EN!Pre_Period</vt:lpstr>
      <vt:lpstr>PT!Pre_Period</vt:lpstr>
      <vt:lpstr>Check!Print_Area</vt:lpstr>
      <vt:lpstr>Checks!Print_Area</vt:lpstr>
      <vt:lpstr>EN!Print_Area</vt:lpstr>
      <vt:lpstr>PT!Print_Area</vt:lpstr>
    </vt:vector>
  </TitlesOfParts>
  <Manager/>
  <Company>EDP - Electricidade de Portugal,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 Antunes</dc:creator>
  <cp:keywords/>
  <dc:description/>
  <cp:lastModifiedBy>MARIA BANDA MACIAS</cp:lastModifiedBy>
  <cp:revision/>
  <cp:lastPrinted>2026-01-22T17:28:18Z</cp:lastPrinted>
  <dcterms:created xsi:type="dcterms:W3CDTF">2006-03-15T12:14:41Z</dcterms:created>
  <dcterms:modified xsi:type="dcterms:W3CDTF">2026-01-22T17:48:59Z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0x01010080BB804E28ADEA4EB497DECC40E44022</vt:lpwstr>
  </property>
  <property fmtid="{D5CDD505-2E9C-101B-9397-08002B2CF9AE}" pid="3" name="MediaServiceImageTags">
    <vt:lpwstr/>
  </property>
  <property fmtid="{D5CDD505-2E9C-101B-9397-08002B2CF9AE}" pid="4" name="MSIP_Label_9811530c-902c-4b75-8616-d6c82cd1332a_Enabled">
    <vt:lpwstr>true</vt:lpwstr>
  </property>
  <property fmtid="{D5CDD505-2E9C-101B-9397-08002B2CF9AE}" pid="5" name="MSIP_Label_9811530c-902c-4b75-8616-d6c82cd1332a_SetDate">
    <vt:lpwstr>2023-10-15T21:27:47Z</vt:lpwstr>
  </property>
  <property fmtid="{D5CDD505-2E9C-101B-9397-08002B2CF9AE}" pid="6" name="MSIP_Label_9811530c-902c-4b75-8616-d6c82cd1332a_Method">
    <vt:lpwstr>Standard</vt:lpwstr>
  </property>
  <property fmtid="{D5CDD505-2E9C-101B-9397-08002B2CF9AE}" pid="7" name="MSIP_Label_9811530c-902c-4b75-8616-d6c82cd1332a_Name">
    <vt:lpwstr>9811530c-902c-4b75-8616-d6c82cd1332a</vt:lpwstr>
  </property>
  <property fmtid="{D5CDD505-2E9C-101B-9397-08002B2CF9AE}" pid="8" name="MSIP_Label_9811530c-902c-4b75-8616-d6c82cd1332a_SiteId">
    <vt:lpwstr>bf86fbdb-f8c2-440e-923c-05a60dc2bc9b</vt:lpwstr>
  </property>
  <property fmtid="{D5CDD505-2E9C-101B-9397-08002B2CF9AE}" pid="9" name="MSIP_Label_9811530c-902c-4b75-8616-d6c82cd1332a_ActionId">
    <vt:lpwstr>0a3b31b7-d95f-47bf-bb18-0d4beb828fb6</vt:lpwstr>
  </property>
  <property fmtid="{D5CDD505-2E9C-101B-9397-08002B2CF9AE}" pid="10" name="MSIP_Label_9811530c-902c-4b75-8616-d6c82cd1332a_ContentBits">
    <vt:lpwstr>0</vt:lpwstr>
  </property>
</Properties>
</file>